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s\"/>
    </mc:Choice>
  </mc:AlternateContent>
  <xr:revisionPtr revIDLastSave="0" documentId="13_ncr:1_{A4E60F20-0045-4839-85F8-6FF755BF904B}" xr6:coauthVersionLast="47" xr6:coauthVersionMax="47" xr10:uidLastSave="{00000000-0000-0000-0000-000000000000}"/>
  <bookViews>
    <workbookView xWindow="-110" yWindow="-110" windowWidth="19420" windowHeight="10420" xr2:uid="{00000000-000D-0000-FFFF-FFFF00000000}"/>
  </bookViews>
  <sheets>
    <sheet name="dashboard VdM II" sheetId="4" r:id="rId1"/>
    <sheet name="nieuw tarief" sheetId="16" r:id="rId2"/>
    <sheet name="toeslagen" sheetId="19" r:id="rId3"/>
    <sheet name="opvolging" sheetId="20" r:id="rId4"/>
    <sheet name="forfaits 2022" sheetId="1" r:id="rId5"/>
    <sheet name="forfaits 2023" sheetId="15" r:id="rId6"/>
    <sheet name="bronnen --&gt;&gt;" sheetId="21" r:id="rId7"/>
    <sheet name="bron VAS2022" sheetId="2" r:id="rId8"/>
    <sheet name="bron VAS2023" sheetId="13" r:id="rId9"/>
    <sheet name="lijst forfaits" sheetId="3" r:id="rId10"/>
    <sheet name="forfaits kleine n" sheetId="17" r:id="rId11"/>
  </sheets>
  <definedNames>
    <definedName name="_xlnm._FilterDatabase" localSheetId="7" hidden="1">'bron VAS2022'!$A$2:$A$1366</definedName>
    <definedName name="_xlnm._FilterDatabase" localSheetId="8" hidden="1">'bron VAS2023'!$A$2:$A$1302</definedName>
    <definedName name="_xlnm._FilterDatabase" localSheetId="3" hidden="1">opvolging!$C$124:$C$311</definedName>
    <definedName name="btw">'dashboard VdM II'!$D$36</definedName>
    <definedName name="factor_samenhang">'dashboard VdM II'!$G$16</definedName>
    <definedName name="knop_boven_forfait">'dashboard VdM II'!$B$16</definedName>
    <definedName name="knop_nul_forfait">'dashboard VdM II'!$B$17</definedName>
    <definedName name="knop_onder_forfait">'dashboard VdM II'!$B$15</definedName>
    <definedName name="knop_op_forfait">'dashboard VdM II'!$B$14</definedName>
    <definedName name="knop_opvolging">'dashboard VdM II'!$B$22</definedName>
    <definedName name="knop_toeslagen">'dashboard VdM II'!$B$21</definedName>
    <definedName name="_xlnm.Extract" localSheetId="7">'bron VAS2022'!$A$1393</definedName>
    <definedName name="_xlnm.Extract" localSheetId="8">'bron VAS2023'!$A$1332</definedName>
    <definedName name="_xlnm.Extract" localSheetId="3">opvolging!$B$14</definedName>
    <definedName name="tabel_pt_VdMII" localSheetId="8">Tabel_forfaits_Cebeon[#All]</definedName>
    <definedName name="tabel_pt_VdMII" localSheetId="5">Tabel_forfaits_Cebeon[#All]</definedName>
    <definedName name="tabel_pt_VdMII">Tabel_forfaits_Cebeon[#All]</definedName>
    <definedName name="tarief_EXU_straf">'dashboard VdM II'!$D$32</definedName>
    <definedName name="tarief_huidig">'dashboard VdM II'!$C$30</definedName>
    <definedName name="tarief_nieuw">'dashboard VdM II'!$E$30</definedName>
    <definedName name="tarief_verhoging">'dashboard VdM II'!$H$30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4" l="1"/>
  <c r="H27" i="4"/>
  <c r="H4" i="13"/>
  <c r="H5" i="13"/>
  <c r="H6" i="13"/>
  <c r="H7" i="13"/>
  <c r="H8" i="13"/>
  <c r="H9" i="13"/>
  <c r="H12" i="13"/>
  <c r="P4" i="15"/>
  <c r="E42" i="16"/>
  <c r="E43" i="16"/>
  <c r="E45" i="16"/>
  <c r="E41" i="16"/>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N15" i="20"/>
  <c r="O15" i="20" s="1"/>
  <c r="N16" i="20"/>
  <c r="Q16" i="20" s="1"/>
  <c r="R16" i="20" s="1"/>
  <c r="N17" i="20"/>
  <c r="Q17" i="20" s="1"/>
  <c r="N18" i="20"/>
  <c r="O18" i="20" s="1"/>
  <c r="N19" i="20"/>
  <c r="O19" i="20" s="1"/>
  <c r="N20" i="20"/>
  <c r="O20" i="20" s="1"/>
  <c r="N21" i="20"/>
  <c r="O21" i="20" s="1"/>
  <c r="N22" i="20"/>
  <c r="O22" i="20" s="1"/>
  <c r="N23" i="20"/>
  <c r="O23" i="20" s="1"/>
  <c r="N24" i="20"/>
  <c r="O24" i="20" s="1"/>
  <c r="N25" i="20"/>
  <c r="O25" i="20" s="1"/>
  <c r="N26" i="20"/>
  <c r="O26" i="20" s="1"/>
  <c r="N27" i="20"/>
  <c r="O27" i="20" s="1"/>
  <c r="N28" i="20"/>
  <c r="O28" i="20" s="1"/>
  <c r="N29" i="20"/>
  <c r="O29" i="20" s="1"/>
  <c r="N30" i="20"/>
  <c r="O30" i="20" s="1"/>
  <c r="N31" i="20"/>
  <c r="O31" i="20" s="1"/>
  <c r="N32" i="20"/>
  <c r="Q32" i="20" s="1"/>
  <c r="R32" i="20" s="1"/>
  <c r="N33" i="20"/>
  <c r="Q33" i="20" s="1"/>
  <c r="N34" i="20"/>
  <c r="O34" i="20" s="1"/>
  <c r="N35" i="20"/>
  <c r="O35" i="20" s="1"/>
  <c r="N36" i="20"/>
  <c r="O36" i="20" s="1"/>
  <c r="N37" i="20"/>
  <c r="O37" i="20" s="1"/>
  <c r="N38" i="20"/>
  <c r="O38" i="20" s="1"/>
  <c r="N39" i="20"/>
  <c r="O39" i="20" s="1"/>
  <c r="N40" i="20"/>
  <c r="O40" i="20" s="1"/>
  <c r="N41" i="20"/>
  <c r="O41" i="20" s="1"/>
  <c r="N42" i="20"/>
  <c r="O42" i="20" s="1"/>
  <c r="N43" i="20"/>
  <c r="O43" i="20" s="1"/>
  <c r="N44" i="20"/>
  <c r="O44" i="20" s="1"/>
  <c r="N45" i="20"/>
  <c r="O45" i="20" s="1"/>
  <c r="N46" i="20"/>
  <c r="O46" i="20" s="1"/>
  <c r="N47" i="20"/>
  <c r="O47" i="20" s="1"/>
  <c r="N48" i="20"/>
  <c r="O48" i="20" s="1"/>
  <c r="N49" i="20"/>
  <c r="O49" i="20" s="1"/>
  <c r="N50" i="20"/>
  <c r="O50" i="20" s="1"/>
  <c r="N51" i="20"/>
  <c r="O51" i="20" s="1"/>
  <c r="N52" i="20"/>
  <c r="O52" i="20" s="1"/>
  <c r="N53" i="20"/>
  <c r="O53" i="20" s="1"/>
  <c r="N54" i="20"/>
  <c r="O54" i="20" s="1"/>
  <c r="N55" i="20"/>
  <c r="O55" i="20" s="1"/>
  <c r="N56" i="20"/>
  <c r="O56" i="20" s="1"/>
  <c r="N57" i="20"/>
  <c r="O57" i="20" s="1"/>
  <c r="N58" i="20"/>
  <c r="O58" i="20" s="1"/>
  <c r="N59" i="20"/>
  <c r="O59" i="20" s="1"/>
  <c r="N60" i="20"/>
  <c r="Q60" i="20" s="1"/>
  <c r="R60" i="20" s="1"/>
  <c r="N61" i="20"/>
  <c r="O61" i="20" s="1"/>
  <c r="N62" i="20"/>
  <c r="O62" i="20" s="1"/>
  <c r="N63" i="20"/>
  <c r="O63" i="20" s="1"/>
  <c r="N64" i="20"/>
  <c r="O64" i="20" s="1"/>
  <c r="N65" i="20"/>
  <c r="O65" i="20" s="1"/>
  <c r="N66" i="20"/>
  <c r="O66" i="20" s="1"/>
  <c r="N67" i="20"/>
  <c r="O67" i="20" s="1"/>
  <c r="N68" i="20"/>
  <c r="O68" i="20" s="1"/>
  <c r="N69" i="20"/>
  <c r="O69" i="20" s="1"/>
  <c r="N70" i="20"/>
  <c r="O70" i="20" s="1"/>
  <c r="N71" i="20"/>
  <c r="O71" i="20" s="1"/>
  <c r="N72" i="20"/>
  <c r="O72" i="20" s="1"/>
  <c r="N73" i="20"/>
  <c r="O73" i="20" s="1"/>
  <c r="N74" i="20"/>
  <c r="O74" i="20" s="1"/>
  <c r="N75" i="20"/>
  <c r="O75" i="20" s="1"/>
  <c r="N76" i="20"/>
  <c r="Q76" i="20" s="1"/>
  <c r="N77" i="20"/>
  <c r="O77" i="20" s="1"/>
  <c r="N78" i="20"/>
  <c r="O78" i="20" s="1"/>
  <c r="N79" i="20"/>
  <c r="O79" i="20" s="1"/>
  <c r="N80" i="20"/>
  <c r="O80" i="20" s="1"/>
  <c r="N81" i="20"/>
  <c r="O81" i="20" s="1"/>
  <c r="N82" i="20"/>
  <c r="O82" i="20" s="1"/>
  <c r="N83" i="20"/>
  <c r="O83" i="20" s="1"/>
  <c r="N84" i="20"/>
  <c r="O84" i="20" s="1"/>
  <c r="N85" i="20"/>
  <c r="O85" i="20" s="1"/>
  <c r="N86" i="20"/>
  <c r="O86" i="20" s="1"/>
  <c r="N87" i="20"/>
  <c r="O87" i="20" s="1"/>
  <c r="N88" i="20"/>
  <c r="O88" i="20" s="1"/>
  <c r="N89" i="20"/>
  <c r="O89" i="20" s="1"/>
  <c r="N90" i="20"/>
  <c r="O90" i="20" s="1"/>
  <c r="N91" i="20"/>
  <c r="O91" i="20" s="1"/>
  <c r="N92" i="20"/>
  <c r="Q92" i="20" s="1"/>
  <c r="R92" i="20" s="1"/>
  <c r="N93" i="20"/>
  <c r="O93" i="20" s="1"/>
  <c r="N94" i="20"/>
  <c r="O94" i="20" s="1"/>
  <c r="N95" i="20"/>
  <c r="O95" i="20" s="1"/>
  <c r="N96" i="20"/>
  <c r="O96" i="20" s="1"/>
  <c r="N97" i="20"/>
  <c r="O97" i="20" s="1"/>
  <c r="N98" i="20"/>
  <c r="O98" i="20" s="1"/>
  <c r="N99" i="20"/>
  <c r="O99" i="20" s="1"/>
  <c r="N100" i="20"/>
  <c r="O100" i="20" s="1"/>
  <c r="N101" i="20"/>
  <c r="O101" i="20" s="1"/>
  <c r="N102" i="20"/>
  <c r="O102" i="20" s="1"/>
  <c r="N103" i="20"/>
  <c r="O103" i="20" s="1"/>
  <c r="N104" i="20"/>
  <c r="O104" i="20" s="1"/>
  <c r="N105" i="20"/>
  <c r="O105" i="20" s="1"/>
  <c r="N106" i="20"/>
  <c r="O106" i="20" s="1"/>
  <c r="N107" i="20"/>
  <c r="O107" i="20" s="1"/>
  <c r="N108" i="20"/>
  <c r="O108" i="20" s="1"/>
  <c r="N109" i="20"/>
  <c r="O109" i="20" s="1"/>
  <c r="N110" i="20"/>
  <c r="O110" i="20" s="1"/>
  <c r="N111" i="20"/>
  <c r="O111" i="20" s="1"/>
  <c r="N112" i="20"/>
  <c r="O112" i="20" s="1"/>
  <c r="N113" i="20"/>
  <c r="O113" i="20" s="1"/>
  <c r="N114" i="20"/>
  <c r="O114" i="20" s="1"/>
  <c r="N115" i="20"/>
  <c r="O115" i="20" s="1"/>
  <c r="N116" i="20"/>
  <c r="O116" i="20" s="1"/>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D15" i="20"/>
  <c r="E15" i="20" s="1"/>
  <c r="D16" i="20"/>
  <c r="E16" i="20" s="1"/>
  <c r="D17" i="20"/>
  <c r="E17" i="20" s="1"/>
  <c r="D18" i="20"/>
  <c r="G18" i="20" s="1"/>
  <c r="H18" i="20" s="1"/>
  <c r="D19" i="20"/>
  <c r="G19" i="20" s="1"/>
  <c r="H19" i="20" s="1"/>
  <c r="D20" i="20"/>
  <c r="E20" i="20" s="1"/>
  <c r="D21" i="20"/>
  <c r="E21" i="20" s="1"/>
  <c r="D22" i="20"/>
  <c r="G22" i="20" s="1"/>
  <c r="H22" i="20" s="1"/>
  <c r="D23" i="20"/>
  <c r="E23" i="20" s="1"/>
  <c r="D24" i="20"/>
  <c r="E24" i="20" s="1"/>
  <c r="D25" i="20"/>
  <c r="E25" i="20" s="1"/>
  <c r="D26" i="20"/>
  <c r="G26" i="20" s="1"/>
  <c r="H26" i="20" s="1"/>
  <c r="D27" i="20"/>
  <c r="G27" i="20" s="1"/>
  <c r="H27" i="20" s="1"/>
  <c r="D28" i="20"/>
  <c r="E28" i="20" s="1"/>
  <c r="D29" i="20"/>
  <c r="E29" i="20" s="1"/>
  <c r="D30" i="20"/>
  <c r="G30" i="20" s="1"/>
  <c r="H30" i="20" s="1"/>
  <c r="D31" i="20"/>
  <c r="E31" i="20" s="1"/>
  <c r="D32" i="20"/>
  <c r="E32" i="20" s="1"/>
  <c r="D33" i="20"/>
  <c r="E33" i="20" s="1"/>
  <c r="D34" i="20"/>
  <c r="G34" i="20" s="1"/>
  <c r="H34" i="20" s="1"/>
  <c r="D35" i="20"/>
  <c r="G35" i="20" s="1"/>
  <c r="H35" i="20" s="1"/>
  <c r="D36" i="20"/>
  <c r="E36" i="20" s="1"/>
  <c r="D37" i="20"/>
  <c r="E37" i="20" s="1"/>
  <c r="D38" i="20"/>
  <c r="G38" i="20" s="1"/>
  <c r="H38" i="20" s="1"/>
  <c r="D39" i="20"/>
  <c r="E39" i="20" s="1"/>
  <c r="D40" i="20"/>
  <c r="E40" i="20" s="1"/>
  <c r="D41" i="20"/>
  <c r="E41" i="20" s="1"/>
  <c r="D42" i="20"/>
  <c r="G42" i="20" s="1"/>
  <c r="H42" i="20" s="1"/>
  <c r="D43" i="20"/>
  <c r="G43" i="20" s="1"/>
  <c r="H43" i="20" s="1"/>
  <c r="D44" i="20"/>
  <c r="E44" i="20" s="1"/>
  <c r="D45" i="20"/>
  <c r="E45" i="20" s="1"/>
  <c r="D46" i="20"/>
  <c r="G46" i="20" s="1"/>
  <c r="H46" i="20" s="1"/>
  <c r="D47" i="20"/>
  <c r="E47" i="20" s="1"/>
  <c r="D48" i="20"/>
  <c r="E48" i="20" s="1"/>
  <c r="D49" i="20"/>
  <c r="E49" i="20" s="1"/>
  <c r="D50" i="20"/>
  <c r="G50" i="20" s="1"/>
  <c r="H50" i="20" s="1"/>
  <c r="D51" i="20"/>
  <c r="G51" i="20" s="1"/>
  <c r="H51" i="20" s="1"/>
  <c r="D52" i="20"/>
  <c r="E52" i="20" s="1"/>
  <c r="D53" i="20"/>
  <c r="E53" i="20" s="1"/>
  <c r="D54" i="20"/>
  <c r="G54" i="20" s="1"/>
  <c r="H54" i="20" s="1"/>
  <c r="D55" i="20"/>
  <c r="E55" i="20" s="1"/>
  <c r="D56" i="20"/>
  <c r="E56" i="20" s="1"/>
  <c r="D57" i="20"/>
  <c r="E57" i="20" s="1"/>
  <c r="D58" i="20"/>
  <c r="G58" i="20" s="1"/>
  <c r="H58" i="20" s="1"/>
  <c r="D59" i="20"/>
  <c r="G59" i="20" s="1"/>
  <c r="H59" i="20" s="1"/>
  <c r="D60" i="20"/>
  <c r="E60" i="20" s="1"/>
  <c r="D61" i="20"/>
  <c r="E61" i="20" s="1"/>
  <c r="D62" i="20"/>
  <c r="G62" i="20" s="1"/>
  <c r="H62" i="20" s="1"/>
  <c r="D63" i="20"/>
  <c r="E63" i="20" s="1"/>
  <c r="D64" i="20"/>
  <c r="E64" i="20" s="1"/>
  <c r="D65" i="20"/>
  <c r="E65" i="20" s="1"/>
  <c r="D66" i="20"/>
  <c r="G66" i="20" s="1"/>
  <c r="H66" i="20" s="1"/>
  <c r="D67" i="20"/>
  <c r="G67" i="20" s="1"/>
  <c r="H67" i="20" s="1"/>
  <c r="D68" i="20"/>
  <c r="E68" i="20" s="1"/>
  <c r="D69" i="20"/>
  <c r="E69" i="20" s="1"/>
  <c r="D70" i="20"/>
  <c r="G70" i="20" s="1"/>
  <c r="H70" i="20" s="1"/>
  <c r="D71" i="20"/>
  <c r="E71" i="20" s="1"/>
  <c r="D72" i="20"/>
  <c r="E72" i="20" s="1"/>
  <c r="D73" i="20"/>
  <c r="E73" i="20" s="1"/>
  <c r="D74" i="20"/>
  <c r="G74" i="20" s="1"/>
  <c r="H74" i="20" s="1"/>
  <c r="D75" i="20"/>
  <c r="G75" i="20" s="1"/>
  <c r="H75" i="20" s="1"/>
  <c r="D76" i="20"/>
  <c r="E76" i="20" s="1"/>
  <c r="D77" i="20"/>
  <c r="E77" i="20" s="1"/>
  <c r="D78" i="20"/>
  <c r="G78" i="20" s="1"/>
  <c r="H78" i="20" s="1"/>
  <c r="D79" i="20"/>
  <c r="E79" i="20" s="1"/>
  <c r="D80" i="20"/>
  <c r="E80" i="20" s="1"/>
  <c r="D81" i="20"/>
  <c r="E81" i="20" s="1"/>
  <c r="D82" i="20"/>
  <c r="G82" i="20" s="1"/>
  <c r="H82" i="20" s="1"/>
  <c r="D83" i="20"/>
  <c r="G83" i="20" s="1"/>
  <c r="H83" i="20" s="1"/>
  <c r="D84" i="20"/>
  <c r="E84" i="20" s="1"/>
  <c r="D85" i="20"/>
  <c r="E85" i="20" s="1"/>
  <c r="D86" i="20"/>
  <c r="G86" i="20" s="1"/>
  <c r="H86" i="20" s="1"/>
  <c r="D87" i="20"/>
  <c r="E87" i="20" s="1"/>
  <c r="D88" i="20"/>
  <c r="E88" i="20" s="1"/>
  <c r="D89" i="20"/>
  <c r="E89" i="20" s="1"/>
  <c r="D90" i="20"/>
  <c r="G90" i="20" s="1"/>
  <c r="H90" i="20" s="1"/>
  <c r="D91" i="20"/>
  <c r="G91" i="20" s="1"/>
  <c r="H91" i="20" s="1"/>
  <c r="D92" i="20"/>
  <c r="E92" i="20" s="1"/>
  <c r="D93" i="20"/>
  <c r="E93" i="20" s="1"/>
  <c r="D94" i="20"/>
  <c r="G94" i="20" s="1"/>
  <c r="H94" i="20" s="1"/>
  <c r="D95" i="20"/>
  <c r="E95" i="20" s="1"/>
  <c r="D96" i="20"/>
  <c r="E96" i="20" s="1"/>
  <c r="D97" i="20"/>
  <c r="E97" i="20" s="1"/>
  <c r="D98" i="20"/>
  <c r="G98" i="20" s="1"/>
  <c r="H98" i="20" s="1"/>
  <c r="D99" i="20"/>
  <c r="G99" i="20" s="1"/>
  <c r="H99" i="20" s="1"/>
  <c r="D100" i="20"/>
  <c r="E100" i="20" s="1"/>
  <c r="D101" i="20"/>
  <c r="E101" i="20" s="1"/>
  <c r="D102" i="20"/>
  <c r="G102" i="20" s="1"/>
  <c r="H102" i="20" s="1"/>
  <c r="D103" i="20"/>
  <c r="E103" i="20" s="1"/>
  <c r="D104" i="20"/>
  <c r="E104" i="20" s="1"/>
  <c r="D105" i="20"/>
  <c r="E105" i="20" s="1"/>
  <c r="D106" i="20"/>
  <c r="G106" i="20" s="1"/>
  <c r="H106" i="20" s="1"/>
  <c r="D107" i="20"/>
  <c r="G107" i="20" s="1"/>
  <c r="H107" i="20" s="1"/>
  <c r="D108" i="20"/>
  <c r="E108" i="20" s="1"/>
  <c r="D109" i="20"/>
  <c r="D110" i="20"/>
  <c r="G110" i="20" s="1"/>
  <c r="H110" i="20" s="1"/>
  <c r="D111" i="20"/>
  <c r="E111" i="20" s="1"/>
  <c r="D112" i="20"/>
  <c r="D113" i="20"/>
  <c r="D114" i="20"/>
  <c r="G114" i="20" s="1"/>
  <c r="H114" i="20" s="1"/>
  <c r="D115" i="20"/>
  <c r="G115" i="20" s="1"/>
  <c r="H115" i="20" s="1"/>
  <c r="D116" i="20"/>
  <c r="R76" i="20"/>
  <c r="R33" i="20"/>
  <c r="R17" i="20"/>
  <c r="E34" i="20"/>
  <c r="E35" i="20"/>
  <c r="E66" i="20"/>
  <c r="D23" i="19"/>
  <c r="I23" i="19" s="1"/>
  <c r="F31" i="19"/>
  <c r="D7" i="19" s="1"/>
  <c r="F32" i="19"/>
  <c r="D8" i="19" s="1"/>
  <c r="F33" i="19"/>
  <c r="F34" i="19"/>
  <c r="D9" i="19" s="1"/>
  <c r="I9" i="19" s="1"/>
  <c r="F35" i="19"/>
  <c r="D10" i="19" s="1"/>
  <c r="I10" i="19" s="1"/>
  <c r="F36" i="19"/>
  <c r="D11" i="19" s="1"/>
  <c r="I11" i="19" s="1"/>
  <c r="F37" i="19"/>
  <c r="D12" i="19" s="1"/>
  <c r="F38" i="19"/>
  <c r="D13" i="19" s="1"/>
  <c r="F13" i="19" s="1"/>
  <c r="F39" i="19"/>
  <c r="D14" i="19" s="1"/>
  <c r="I14" i="19" s="1"/>
  <c r="F40" i="19"/>
  <c r="D15" i="19" s="1"/>
  <c r="I15" i="19" s="1"/>
  <c r="F41" i="19"/>
  <c r="D16" i="19" s="1"/>
  <c r="F42" i="19"/>
  <c r="D17" i="19" s="1"/>
  <c r="I17" i="19" s="1"/>
  <c r="F43" i="19"/>
  <c r="D18" i="19" s="1"/>
  <c r="I18" i="19" s="1"/>
  <c r="F44" i="19"/>
  <c r="D19" i="19" s="1"/>
  <c r="I19" i="19" s="1"/>
  <c r="F45" i="19"/>
  <c r="D20" i="19" s="1"/>
  <c r="F46" i="19"/>
  <c r="D21" i="19" s="1"/>
  <c r="F21" i="19" s="1"/>
  <c r="F47" i="19"/>
  <c r="D22" i="19" s="1"/>
  <c r="F48" i="19"/>
  <c r="F30" i="19"/>
  <c r="D6" i="19" s="1"/>
  <c r="I6" i="19" s="1"/>
  <c r="E102" i="20" l="1"/>
  <c r="E90" i="20"/>
  <c r="E58" i="20"/>
  <c r="E30" i="20"/>
  <c r="E86" i="20"/>
  <c r="E50" i="20"/>
  <c r="E18" i="20"/>
  <c r="E114" i="20"/>
  <c r="E74" i="20"/>
  <c r="I74" i="20" s="1"/>
  <c r="E98" i="20"/>
  <c r="E70" i="20"/>
  <c r="E46" i="20"/>
  <c r="I46" i="20" s="1"/>
  <c r="E22" i="20"/>
  <c r="I22" i="20" s="1"/>
  <c r="E99" i="20"/>
  <c r="E82" i="20"/>
  <c r="E62" i="20"/>
  <c r="I62" i="20" s="1"/>
  <c r="E38" i="20"/>
  <c r="I38" i="20" s="1"/>
  <c r="E26" i="20"/>
  <c r="E19" i="20"/>
  <c r="E75" i="20"/>
  <c r="I75" i="20" s="1"/>
  <c r="E110" i="20"/>
  <c r="I110" i="20" s="1"/>
  <c r="E107" i="20"/>
  <c r="E43" i="20"/>
  <c r="I43" i="20" s="1"/>
  <c r="E106" i="20"/>
  <c r="I106" i="20" s="1"/>
  <c r="E94" i="20"/>
  <c r="I94" i="20" s="1"/>
  <c r="E78" i="20"/>
  <c r="E67" i="20"/>
  <c r="I67" i="20" s="1"/>
  <c r="E54" i="20"/>
  <c r="E42" i="20"/>
  <c r="I42" i="20" s="1"/>
  <c r="E115" i="20"/>
  <c r="E83" i="20"/>
  <c r="E51" i="20"/>
  <c r="I51" i="20" s="1"/>
  <c r="E91" i="20"/>
  <c r="I91" i="20" s="1"/>
  <c r="E59" i="20"/>
  <c r="E27" i="20"/>
  <c r="I27" i="20" s="1"/>
  <c r="E116" i="20"/>
  <c r="G116" i="20"/>
  <c r="H116" i="20" s="1"/>
  <c r="E112" i="20"/>
  <c r="G112" i="20"/>
  <c r="H112" i="20" s="1"/>
  <c r="I112" i="20" s="1"/>
  <c r="E113" i="20"/>
  <c r="G113" i="20"/>
  <c r="H113" i="20" s="1"/>
  <c r="E109" i="20"/>
  <c r="G109" i="20"/>
  <c r="H109" i="20" s="1"/>
  <c r="I109" i="20" s="1"/>
  <c r="O92" i="20"/>
  <c r="S92" i="20" s="1"/>
  <c r="O33" i="20"/>
  <c r="S33" i="20" s="1"/>
  <c r="O17" i="20"/>
  <c r="S17" i="20" s="1"/>
  <c r="G108" i="20"/>
  <c r="H108" i="20" s="1"/>
  <c r="I108" i="20" s="1"/>
  <c r="G104" i="20"/>
  <c r="H104" i="20" s="1"/>
  <c r="I104" i="20" s="1"/>
  <c r="G100" i="20"/>
  <c r="H100" i="20" s="1"/>
  <c r="I100" i="20" s="1"/>
  <c r="G96" i="20"/>
  <c r="H96" i="20" s="1"/>
  <c r="G92" i="20"/>
  <c r="H92" i="20" s="1"/>
  <c r="I92" i="20" s="1"/>
  <c r="G88" i="20"/>
  <c r="H88" i="20" s="1"/>
  <c r="G84" i="20"/>
  <c r="H84" i="20" s="1"/>
  <c r="I84" i="20" s="1"/>
  <c r="G80" i="20"/>
  <c r="H80" i="20" s="1"/>
  <c r="G76" i="20"/>
  <c r="H76" i="20" s="1"/>
  <c r="I76" i="20" s="1"/>
  <c r="G72" i="20"/>
  <c r="H72" i="20" s="1"/>
  <c r="I72" i="20" s="1"/>
  <c r="G68" i="20"/>
  <c r="H68" i="20" s="1"/>
  <c r="I68" i="20" s="1"/>
  <c r="G64" i="20"/>
  <c r="H64" i="20" s="1"/>
  <c r="G60" i="20"/>
  <c r="H60" i="20" s="1"/>
  <c r="I60" i="20" s="1"/>
  <c r="G56" i="20"/>
  <c r="H56" i="20" s="1"/>
  <c r="G52" i="20"/>
  <c r="H52" i="20" s="1"/>
  <c r="I52" i="20" s="1"/>
  <c r="G48" i="20"/>
  <c r="H48" i="20" s="1"/>
  <c r="G44" i="20"/>
  <c r="H44" i="20" s="1"/>
  <c r="I44" i="20" s="1"/>
  <c r="G40" i="20"/>
  <c r="H40" i="20" s="1"/>
  <c r="I40" i="20" s="1"/>
  <c r="G36" i="20"/>
  <c r="H36" i="20" s="1"/>
  <c r="I36" i="20" s="1"/>
  <c r="G32" i="20"/>
  <c r="H32" i="20" s="1"/>
  <c r="G28" i="20"/>
  <c r="H28" i="20" s="1"/>
  <c r="I28" i="20" s="1"/>
  <c r="G24" i="20"/>
  <c r="H24" i="20" s="1"/>
  <c r="I24" i="20" s="1"/>
  <c r="G20" i="20"/>
  <c r="H20" i="20" s="1"/>
  <c r="I20" i="20" s="1"/>
  <c r="G16" i="20"/>
  <c r="H16" i="20" s="1"/>
  <c r="Q114" i="20"/>
  <c r="R114" i="20" s="1"/>
  <c r="S114" i="20" s="1"/>
  <c r="Q110" i="20"/>
  <c r="R110" i="20" s="1"/>
  <c r="S110" i="20" s="1"/>
  <c r="Q106" i="20"/>
  <c r="R106" i="20" s="1"/>
  <c r="S106" i="20" s="1"/>
  <c r="Q102" i="20"/>
  <c r="R102" i="20" s="1"/>
  <c r="S102" i="20" s="1"/>
  <c r="Q98" i="20"/>
  <c r="R98" i="20" s="1"/>
  <c r="S98" i="20" s="1"/>
  <c r="Q94" i="20"/>
  <c r="R94" i="20" s="1"/>
  <c r="S94" i="20" s="1"/>
  <c r="Q90" i="20"/>
  <c r="R90" i="20" s="1"/>
  <c r="S90" i="20" s="1"/>
  <c r="Q86" i="20"/>
  <c r="R86" i="20" s="1"/>
  <c r="S86" i="20" s="1"/>
  <c r="Q82" i="20"/>
  <c r="R82" i="20" s="1"/>
  <c r="S82" i="20" s="1"/>
  <c r="Q78" i="20"/>
  <c r="R78" i="20" s="1"/>
  <c r="S78" i="20" s="1"/>
  <c r="Q74" i="20"/>
  <c r="R74" i="20" s="1"/>
  <c r="S74" i="20" s="1"/>
  <c r="Q70" i="20"/>
  <c r="R70" i="20" s="1"/>
  <c r="S70" i="20" s="1"/>
  <c r="Q66" i="20"/>
  <c r="R66" i="20" s="1"/>
  <c r="S66" i="20" s="1"/>
  <c r="Q62" i="20"/>
  <c r="R62" i="20" s="1"/>
  <c r="S62" i="20" s="1"/>
  <c r="Q58" i="20"/>
  <c r="R58" i="20" s="1"/>
  <c r="S58" i="20" s="1"/>
  <c r="Q54" i="20"/>
  <c r="R54" i="20" s="1"/>
  <c r="S54" i="20" s="1"/>
  <c r="Q50" i="20"/>
  <c r="R50" i="20" s="1"/>
  <c r="S50" i="20" s="1"/>
  <c r="Q46" i="20"/>
  <c r="R46" i="20" s="1"/>
  <c r="S46" i="20" s="1"/>
  <c r="Q42" i="20"/>
  <c r="R42" i="20" s="1"/>
  <c r="S42" i="20" s="1"/>
  <c r="Q38" i="20"/>
  <c r="R38" i="20" s="1"/>
  <c r="S38" i="20" s="1"/>
  <c r="Q34" i="20"/>
  <c r="R34" i="20" s="1"/>
  <c r="S34" i="20" s="1"/>
  <c r="Q30" i="20"/>
  <c r="R30" i="20" s="1"/>
  <c r="S30" i="20" s="1"/>
  <c r="Q26" i="20"/>
  <c r="R26" i="20" s="1"/>
  <c r="S26" i="20" s="1"/>
  <c r="Q22" i="20"/>
  <c r="R22" i="20" s="1"/>
  <c r="S22" i="20" s="1"/>
  <c r="Q18" i="20"/>
  <c r="R18" i="20" s="1"/>
  <c r="S18" i="20" s="1"/>
  <c r="O76" i="20"/>
  <c r="S76" i="20" s="1"/>
  <c r="O32" i="20"/>
  <c r="S32" i="20" s="1"/>
  <c r="O16" i="20"/>
  <c r="G111" i="20"/>
  <c r="H111" i="20" s="1"/>
  <c r="I111" i="20" s="1"/>
  <c r="G103" i="20"/>
  <c r="H103" i="20" s="1"/>
  <c r="I103" i="20" s="1"/>
  <c r="G95" i="20"/>
  <c r="H95" i="20" s="1"/>
  <c r="I95" i="20" s="1"/>
  <c r="G87" i="20"/>
  <c r="H87" i="20" s="1"/>
  <c r="G79" i="20"/>
  <c r="H79" i="20" s="1"/>
  <c r="G71" i="20"/>
  <c r="H71" i="20" s="1"/>
  <c r="I71" i="20" s="1"/>
  <c r="G63" i="20"/>
  <c r="H63" i="20" s="1"/>
  <c r="I63" i="20" s="1"/>
  <c r="G55" i="20"/>
  <c r="H55" i="20" s="1"/>
  <c r="G47" i="20"/>
  <c r="H47" i="20" s="1"/>
  <c r="G39" i="20"/>
  <c r="H39" i="20" s="1"/>
  <c r="G31" i="20"/>
  <c r="H31" i="20" s="1"/>
  <c r="I31" i="20" s="1"/>
  <c r="G23" i="20"/>
  <c r="H23" i="20" s="1"/>
  <c r="G15" i="20"/>
  <c r="H15" i="20" s="1"/>
  <c r="Q113" i="20"/>
  <c r="R113" i="20" s="1"/>
  <c r="S113" i="20" s="1"/>
  <c r="Q109" i="20"/>
  <c r="R109" i="20" s="1"/>
  <c r="S109" i="20" s="1"/>
  <c r="Q105" i="20"/>
  <c r="R105" i="20" s="1"/>
  <c r="S105" i="20" s="1"/>
  <c r="Q101" i="20"/>
  <c r="R101" i="20" s="1"/>
  <c r="S101" i="20" s="1"/>
  <c r="Q97" i="20"/>
  <c r="R97" i="20" s="1"/>
  <c r="S97" i="20" s="1"/>
  <c r="Q93" i="20"/>
  <c r="R93" i="20" s="1"/>
  <c r="S93" i="20" s="1"/>
  <c r="Q89" i="20"/>
  <c r="R89" i="20" s="1"/>
  <c r="S89" i="20" s="1"/>
  <c r="Q85" i="20"/>
  <c r="R85" i="20" s="1"/>
  <c r="S85" i="20" s="1"/>
  <c r="Q81" i="20"/>
  <c r="R81" i="20" s="1"/>
  <c r="S81" i="20" s="1"/>
  <c r="Q77" i="20"/>
  <c r="R77" i="20" s="1"/>
  <c r="S77" i="20" s="1"/>
  <c r="Q73" i="20"/>
  <c r="R73" i="20" s="1"/>
  <c r="S73" i="20" s="1"/>
  <c r="Q69" i="20"/>
  <c r="R69" i="20" s="1"/>
  <c r="S69" i="20" s="1"/>
  <c r="Q65" i="20"/>
  <c r="R65" i="20" s="1"/>
  <c r="S65" i="20" s="1"/>
  <c r="Q61" i="20"/>
  <c r="R61" i="20" s="1"/>
  <c r="S61" i="20" s="1"/>
  <c r="Q57" i="20"/>
  <c r="R57" i="20" s="1"/>
  <c r="S57" i="20" s="1"/>
  <c r="Q53" i="20"/>
  <c r="R53" i="20" s="1"/>
  <c r="S53" i="20" s="1"/>
  <c r="Q49" i="20"/>
  <c r="R49" i="20" s="1"/>
  <c r="S49" i="20" s="1"/>
  <c r="Q45" i="20"/>
  <c r="R45" i="20" s="1"/>
  <c r="S45" i="20" s="1"/>
  <c r="Q41" i="20"/>
  <c r="R41" i="20" s="1"/>
  <c r="S41" i="20" s="1"/>
  <c r="Q37" i="20"/>
  <c r="R37" i="20" s="1"/>
  <c r="S37" i="20" s="1"/>
  <c r="Q29" i="20"/>
  <c r="R29" i="20" s="1"/>
  <c r="S29" i="20" s="1"/>
  <c r="Q25" i="20"/>
  <c r="R25" i="20" s="1"/>
  <c r="S25" i="20" s="1"/>
  <c r="Q21" i="20"/>
  <c r="R21" i="20" s="1"/>
  <c r="O60" i="20"/>
  <c r="Q116" i="20"/>
  <c r="R116" i="20" s="1"/>
  <c r="S116" i="20" s="1"/>
  <c r="Q112" i="20"/>
  <c r="R112" i="20" s="1"/>
  <c r="S112" i="20" s="1"/>
  <c r="Q108" i="20"/>
  <c r="R108" i="20" s="1"/>
  <c r="Q104" i="20"/>
  <c r="R104" i="20" s="1"/>
  <c r="S104" i="20" s="1"/>
  <c r="Q100" i="20"/>
  <c r="R100" i="20" s="1"/>
  <c r="S100" i="20" s="1"/>
  <c r="Q96" i="20"/>
  <c r="R96" i="20" s="1"/>
  <c r="S96" i="20" s="1"/>
  <c r="Q88" i="20"/>
  <c r="R88" i="20" s="1"/>
  <c r="Q84" i="20"/>
  <c r="R84" i="20" s="1"/>
  <c r="S84" i="20" s="1"/>
  <c r="Q80" i="20"/>
  <c r="R80" i="20" s="1"/>
  <c r="S80" i="20" s="1"/>
  <c r="Q72" i="20"/>
  <c r="R72" i="20" s="1"/>
  <c r="S72" i="20" s="1"/>
  <c r="Q68" i="20"/>
  <c r="R68" i="20" s="1"/>
  <c r="Q64" i="20"/>
  <c r="R64" i="20" s="1"/>
  <c r="S64" i="20" s="1"/>
  <c r="Q56" i="20"/>
  <c r="R56" i="20" s="1"/>
  <c r="S56" i="20" s="1"/>
  <c r="Q52" i="20"/>
  <c r="R52" i="20" s="1"/>
  <c r="S52" i="20" s="1"/>
  <c r="Q48" i="20"/>
  <c r="R48" i="20" s="1"/>
  <c r="Q44" i="20"/>
  <c r="R44" i="20" s="1"/>
  <c r="Q40" i="20"/>
  <c r="R40" i="20" s="1"/>
  <c r="S40" i="20" s="1"/>
  <c r="Q36" i="20"/>
  <c r="R36" i="20" s="1"/>
  <c r="S36" i="20" s="1"/>
  <c r="Q28" i="20"/>
  <c r="R28" i="20" s="1"/>
  <c r="Q24" i="20"/>
  <c r="R24" i="20" s="1"/>
  <c r="Q20" i="20"/>
  <c r="R20" i="20" s="1"/>
  <c r="S20" i="20" s="1"/>
  <c r="G105" i="20"/>
  <c r="H105" i="20" s="1"/>
  <c r="I105" i="20" s="1"/>
  <c r="G101" i="20"/>
  <c r="H101" i="20" s="1"/>
  <c r="G97" i="20"/>
  <c r="H97" i="20" s="1"/>
  <c r="I97" i="20" s="1"/>
  <c r="G93" i="20"/>
  <c r="H93" i="20" s="1"/>
  <c r="I93" i="20" s="1"/>
  <c r="G89" i="20"/>
  <c r="H89" i="20" s="1"/>
  <c r="I89" i="20" s="1"/>
  <c r="G85" i="20"/>
  <c r="H85" i="20" s="1"/>
  <c r="G81" i="20"/>
  <c r="H81" i="20" s="1"/>
  <c r="I81" i="20" s="1"/>
  <c r="G77" i="20"/>
  <c r="H77" i="20" s="1"/>
  <c r="G73" i="20"/>
  <c r="H73" i="20" s="1"/>
  <c r="I73" i="20" s="1"/>
  <c r="G69" i="20"/>
  <c r="H69" i="20" s="1"/>
  <c r="G65" i="20"/>
  <c r="H65" i="20" s="1"/>
  <c r="I65" i="20" s="1"/>
  <c r="G61" i="20"/>
  <c r="H61" i="20" s="1"/>
  <c r="I61" i="20" s="1"/>
  <c r="G57" i="20"/>
  <c r="H57" i="20" s="1"/>
  <c r="I57" i="20" s="1"/>
  <c r="G53" i="20"/>
  <c r="H53" i="20" s="1"/>
  <c r="G49" i="20"/>
  <c r="H49" i="20" s="1"/>
  <c r="I49" i="20" s="1"/>
  <c r="G45" i="20"/>
  <c r="H45" i="20" s="1"/>
  <c r="I45" i="20" s="1"/>
  <c r="G41" i="20"/>
  <c r="H41" i="20" s="1"/>
  <c r="I41" i="20" s="1"/>
  <c r="G37" i="20"/>
  <c r="H37" i="20" s="1"/>
  <c r="G33" i="20"/>
  <c r="H33" i="20" s="1"/>
  <c r="I33" i="20" s="1"/>
  <c r="G29" i="20"/>
  <c r="H29" i="20" s="1"/>
  <c r="I29" i="20" s="1"/>
  <c r="G25" i="20"/>
  <c r="H25" i="20" s="1"/>
  <c r="I25" i="20" s="1"/>
  <c r="G21" i="20"/>
  <c r="H21" i="20" s="1"/>
  <c r="G17" i="20"/>
  <c r="H17" i="20" s="1"/>
  <c r="I17" i="20" s="1"/>
  <c r="Q115" i="20"/>
  <c r="R115" i="20" s="1"/>
  <c r="S115" i="20" s="1"/>
  <c r="Q111" i="20"/>
  <c r="R111" i="20" s="1"/>
  <c r="S111" i="20" s="1"/>
  <c r="Q107" i="20"/>
  <c r="R107" i="20" s="1"/>
  <c r="Q103" i="20"/>
  <c r="R103" i="20" s="1"/>
  <c r="Q99" i="20"/>
  <c r="R99" i="20" s="1"/>
  <c r="S99" i="20" s="1"/>
  <c r="Q95" i="20"/>
  <c r="R95" i="20" s="1"/>
  <c r="S95" i="20" s="1"/>
  <c r="Q91" i="20"/>
  <c r="R91" i="20" s="1"/>
  <c r="Q87" i="20"/>
  <c r="R87" i="20" s="1"/>
  <c r="S87" i="20" s="1"/>
  <c r="Q83" i="20"/>
  <c r="R83" i="20" s="1"/>
  <c r="S83" i="20" s="1"/>
  <c r="Q79" i="20"/>
  <c r="R79" i="20" s="1"/>
  <c r="S79" i="20" s="1"/>
  <c r="Q75" i="20"/>
  <c r="R75" i="20" s="1"/>
  <c r="Q71" i="20"/>
  <c r="R71" i="20" s="1"/>
  <c r="S71" i="20" s="1"/>
  <c r="Q67" i="20"/>
  <c r="R67" i="20" s="1"/>
  <c r="S67" i="20" s="1"/>
  <c r="Q63" i="20"/>
  <c r="R63" i="20" s="1"/>
  <c r="S63" i="20" s="1"/>
  <c r="Q59" i="20"/>
  <c r="R59" i="20" s="1"/>
  <c r="Q55" i="20"/>
  <c r="R55" i="20" s="1"/>
  <c r="S55" i="20" s="1"/>
  <c r="Q51" i="20"/>
  <c r="R51" i="20" s="1"/>
  <c r="S51" i="20" s="1"/>
  <c r="Q47" i="20"/>
  <c r="R47" i="20" s="1"/>
  <c r="S47" i="20" s="1"/>
  <c r="Q43" i="20"/>
  <c r="R43" i="20" s="1"/>
  <c r="Q39" i="20"/>
  <c r="R39" i="20" s="1"/>
  <c r="S39" i="20" s="1"/>
  <c r="Q35" i="20"/>
  <c r="R35" i="20" s="1"/>
  <c r="S35" i="20" s="1"/>
  <c r="Q31" i="20"/>
  <c r="R31" i="20" s="1"/>
  <c r="S31" i="20" s="1"/>
  <c r="Q27" i="20"/>
  <c r="R27" i="20" s="1"/>
  <c r="Q23" i="20"/>
  <c r="R23" i="20" s="1"/>
  <c r="S23" i="20" s="1"/>
  <c r="Q19" i="20"/>
  <c r="R19" i="20" s="1"/>
  <c r="S19" i="20" s="1"/>
  <c r="Q15" i="20"/>
  <c r="R15" i="20" s="1"/>
  <c r="S15" i="20" s="1"/>
  <c r="F117" i="20"/>
  <c r="P117" i="20"/>
  <c r="S21" i="20"/>
  <c r="I53" i="20"/>
  <c r="I37" i="20"/>
  <c r="I21" i="20"/>
  <c r="S107" i="20"/>
  <c r="S103" i="20"/>
  <c r="S91" i="20"/>
  <c r="S75" i="20"/>
  <c r="S59" i="20"/>
  <c r="S43" i="20"/>
  <c r="S27" i="20"/>
  <c r="I99" i="20"/>
  <c r="I101" i="20"/>
  <c r="I85" i="20"/>
  <c r="I77" i="20"/>
  <c r="I69" i="20"/>
  <c r="I96" i="20"/>
  <c r="I88" i="20"/>
  <c r="I80" i="20"/>
  <c r="I64" i="20"/>
  <c r="I56" i="20"/>
  <c r="I48" i="20"/>
  <c r="I32" i="20"/>
  <c r="I16" i="20"/>
  <c r="I87" i="20"/>
  <c r="I79" i="20"/>
  <c r="I59" i="20"/>
  <c r="I55" i="20"/>
  <c r="I47" i="20"/>
  <c r="I39" i="20"/>
  <c r="I35" i="20"/>
  <c r="I23" i="20"/>
  <c r="I19" i="20"/>
  <c r="I15" i="20"/>
  <c r="I115" i="20"/>
  <c r="I107" i="20"/>
  <c r="I83" i="20"/>
  <c r="I114" i="20"/>
  <c r="I102" i="20"/>
  <c r="I98" i="20"/>
  <c r="I90" i="20"/>
  <c r="I86" i="20"/>
  <c r="I82" i="20"/>
  <c r="I78" i="20"/>
  <c r="I70" i="20"/>
  <c r="I66" i="20"/>
  <c r="I58" i="20"/>
  <c r="I54" i="20"/>
  <c r="I50" i="20"/>
  <c r="I34" i="20"/>
  <c r="I30" i="20"/>
  <c r="I26" i="20"/>
  <c r="I18" i="20"/>
  <c r="S108" i="20"/>
  <c r="S88" i="20"/>
  <c r="S68" i="20"/>
  <c r="S60" i="20"/>
  <c r="S48" i="20"/>
  <c r="S44" i="20"/>
  <c r="S24" i="20"/>
  <c r="S16" i="20"/>
  <c r="S28" i="20"/>
  <c r="M117" i="20"/>
  <c r="C117" i="20"/>
  <c r="I22" i="19"/>
  <c r="F9" i="19"/>
  <c r="F16" i="19"/>
  <c r="F12" i="19"/>
  <c r="I13" i="19"/>
  <c r="F20" i="19"/>
  <c r="I8" i="19"/>
  <c r="I7" i="19"/>
  <c r="I21" i="19"/>
  <c r="I16" i="19"/>
  <c r="I12" i="19"/>
  <c r="I20" i="19"/>
  <c r="F23" i="19"/>
  <c r="F19" i="19"/>
  <c r="F11" i="19"/>
  <c r="F8" i="19"/>
  <c r="F22" i="19"/>
  <c r="F14" i="19"/>
  <c r="F7" i="19"/>
  <c r="F6" i="19"/>
  <c r="F15" i="19"/>
  <c r="F18" i="19"/>
  <c r="F10" i="19"/>
  <c r="F17" i="19"/>
  <c r="H11" i="3"/>
  <c r="H85" i="3"/>
  <c r="H167" i="3"/>
  <c r="H146" i="3"/>
  <c r="H127" i="3"/>
  <c r="H122" i="3"/>
  <c r="H107" i="3"/>
  <c r="H104" i="3"/>
  <c r="H73" i="3"/>
  <c r="H71" i="3"/>
  <c r="H70" i="3"/>
  <c r="H69" i="3"/>
  <c r="H68" i="3"/>
  <c r="H67" i="3"/>
  <c r="H66" i="3"/>
  <c r="H65" i="3"/>
  <c r="H56" i="3"/>
  <c r="H63" i="3"/>
  <c r="H169" i="3"/>
  <c r="H160" i="3"/>
  <c r="H158" i="3"/>
  <c r="H156" i="3"/>
  <c r="H151" i="3"/>
  <c r="H144" i="3"/>
  <c r="H140" i="3"/>
  <c r="H138" i="3"/>
  <c r="H136" i="3"/>
  <c r="H134" i="3"/>
  <c r="H126" i="3"/>
  <c r="H123" i="3"/>
  <c r="H119" i="3"/>
  <c r="H117" i="3"/>
  <c r="H115" i="3"/>
  <c r="H113" i="3"/>
  <c r="H112" i="3"/>
  <c r="H99" i="3"/>
  <c r="H97" i="3"/>
  <c r="H75" i="3"/>
  <c r="H64" i="3"/>
  <c r="H62" i="3"/>
  <c r="H61" i="3"/>
  <c r="H58" i="3"/>
  <c r="H57" i="3"/>
  <c r="H32" i="3"/>
  <c r="H30" i="3"/>
  <c r="H23" i="3"/>
  <c r="H21" i="3"/>
  <c r="D3" i="17"/>
  <c r="D22" i="17"/>
  <c r="F8" i="3"/>
  <c r="F9" i="3"/>
  <c r="F10" i="3"/>
  <c r="F11" i="3"/>
  <c r="F12" i="3"/>
  <c r="F13" i="3"/>
  <c r="F14" i="3"/>
  <c r="F15" i="3"/>
  <c r="F16" i="3"/>
  <c r="F17" i="3"/>
  <c r="F18" i="3"/>
  <c r="F19" i="3"/>
  <c r="F20" i="3"/>
  <c r="F21" i="3"/>
  <c r="F22" i="3"/>
  <c r="F23" i="3"/>
  <c r="F24" i="3"/>
  <c r="F25" i="3"/>
  <c r="F26" i="3"/>
  <c r="F27" i="3"/>
  <c r="G27" i="3" s="1"/>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5" i="3"/>
  <c r="F77" i="3"/>
  <c r="F78" i="3"/>
  <c r="F79" i="3"/>
  <c r="F80" i="3"/>
  <c r="F81" i="3"/>
  <c r="F82" i="3"/>
  <c r="F83" i="3"/>
  <c r="F85" i="3"/>
  <c r="F86" i="3"/>
  <c r="F87" i="3"/>
  <c r="F89" i="3"/>
  <c r="F90" i="3"/>
  <c r="F91" i="3"/>
  <c r="F92" i="3"/>
  <c r="F93" i="3"/>
  <c r="F94" i="3"/>
  <c r="F95" i="3"/>
  <c r="F96" i="3"/>
  <c r="F97" i="3"/>
  <c r="F98" i="3"/>
  <c r="F99" i="3"/>
  <c r="F100" i="3"/>
  <c r="F101" i="3"/>
  <c r="F102" i="3"/>
  <c r="F103" i="3"/>
  <c r="F104" i="3"/>
  <c r="F105" i="3"/>
  <c r="F106" i="3"/>
  <c r="F107" i="3"/>
  <c r="F108" i="3"/>
  <c r="F109" i="3"/>
  <c r="F111" i="3"/>
  <c r="F112" i="3"/>
  <c r="F113" i="3"/>
  <c r="F114" i="3"/>
  <c r="F115" i="3"/>
  <c r="F116" i="3"/>
  <c r="F117" i="3"/>
  <c r="F119" i="3"/>
  <c r="F121" i="3"/>
  <c r="F122" i="3"/>
  <c r="F123" i="3"/>
  <c r="F125" i="3"/>
  <c r="F126" i="3"/>
  <c r="F127" i="3"/>
  <c r="F128" i="3"/>
  <c r="F129" i="3"/>
  <c r="F131" i="3"/>
  <c r="F132" i="3"/>
  <c r="F133" i="3"/>
  <c r="F134" i="3"/>
  <c r="F136" i="3"/>
  <c r="F138" i="3"/>
  <c r="F140" i="3"/>
  <c r="F142" i="3"/>
  <c r="F143" i="3"/>
  <c r="F144" i="3"/>
  <c r="F145" i="3"/>
  <c r="F146" i="3"/>
  <c r="F148" i="3"/>
  <c r="F149" i="3"/>
  <c r="F151" i="3"/>
  <c r="F152" i="3"/>
  <c r="F154" i="3"/>
  <c r="F155" i="3"/>
  <c r="F156" i="3"/>
  <c r="F157" i="3"/>
  <c r="F158" i="3"/>
  <c r="F159" i="3"/>
  <c r="F160" i="3"/>
  <c r="F161" i="3"/>
  <c r="F162" i="3"/>
  <c r="F163" i="3"/>
  <c r="F164" i="3"/>
  <c r="F165" i="3"/>
  <c r="F166" i="3"/>
  <c r="F167" i="3"/>
  <c r="F169" i="3"/>
  <c r="F171" i="3"/>
  <c r="F172" i="3"/>
  <c r="F173" i="3"/>
  <c r="F174" i="3"/>
  <c r="F175" i="3"/>
  <c r="F176" i="3"/>
  <c r="F177" i="3"/>
  <c r="I113" i="20" l="1"/>
  <c r="I116" i="20"/>
  <c r="S117" i="20"/>
  <c r="E13" i="16" s="1"/>
  <c r="E12" i="16"/>
  <c r="C12" i="16"/>
  <c r="I117" i="20"/>
  <c r="C13" i="16" s="1"/>
  <c r="I24" i="19"/>
  <c r="F24" i="19"/>
  <c r="F5" i="16"/>
  <c r="E5" i="16"/>
  <c r="I30" i="4"/>
  <c r="F30" i="4"/>
  <c r="D30" i="4"/>
  <c r="E28" i="4"/>
  <c r="E30" i="4" s="1"/>
  <c r="C28" i="4"/>
  <c r="E8" i="16"/>
  <c r="C8" i="16"/>
  <c r="B44" i="16"/>
  <c r="B43" i="16"/>
  <c r="D44" i="16"/>
  <c r="D28" i="16"/>
  <c r="C26" i="16"/>
  <c r="C45" i="16"/>
  <c r="C42" i="16"/>
  <c r="C29" i="16"/>
  <c r="B45" i="16"/>
  <c r="B42" i="16"/>
  <c r="D46" i="16"/>
  <c r="C46" i="16"/>
  <c r="C41" i="16"/>
  <c r="D30" i="16"/>
  <c r="C30" i="16"/>
  <c r="C25" i="16"/>
  <c r="D35" i="16"/>
  <c r="D36" i="16"/>
  <c r="D37" i="16"/>
  <c r="D38" i="16"/>
  <c r="D39" i="16"/>
  <c r="D19" i="16"/>
  <c r="D20" i="16"/>
  <c r="D21" i="16"/>
  <c r="D22" i="16"/>
  <c r="D23" i="16"/>
  <c r="C39" i="16"/>
  <c r="C38" i="16"/>
  <c r="C37" i="16"/>
  <c r="C36" i="16"/>
  <c r="C35" i="16"/>
  <c r="C23" i="16"/>
  <c r="C22" i="16"/>
  <c r="C21" i="16"/>
  <c r="C20" i="16"/>
  <c r="C19" i="16"/>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31" i="16" l="1"/>
  <c r="C6" i="16" s="1"/>
  <c r="C7" i="16" s="1"/>
  <c r="D47" i="16"/>
  <c r="E6" i="16" s="1"/>
  <c r="E7" i="16" s="1"/>
  <c r="F7" i="15" l="1"/>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J7" i="4"/>
  <c r="J6" i="4"/>
  <c r="J5" i="4"/>
  <c r="G46" i="15"/>
  <c r="H46" i="15"/>
  <c r="I46" i="15"/>
  <c r="J46" i="15"/>
  <c r="K46" i="15"/>
  <c r="L46" i="15"/>
  <c r="G42" i="15"/>
  <c r="H42" i="15"/>
  <c r="I42" i="15"/>
  <c r="J42" i="15"/>
  <c r="K42" i="15"/>
  <c r="L42" i="15"/>
  <c r="G43" i="15"/>
  <c r="H43" i="15"/>
  <c r="I43" i="15"/>
  <c r="J43" i="15"/>
  <c r="K43" i="15"/>
  <c r="L43" i="15"/>
  <c r="G40" i="15"/>
  <c r="H40" i="15"/>
  <c r="I40" i="15"/>
  <c r="J40" i="15"/>
  <c r="K40" i="15"/>
  <c r="L40" i="15"/>
  <c r="G46" i="1"/>
  <c r="H46" i="1"/>
  <c r="I46" i="1"/>
  <c r="J46" i="1"/>
  <c r="K46" i="1"/>
  <c r="L46" i="1"/>
  <c r="G43" i="1"/>
  <c r="H43" i="1"/>
  <c r="I43" i="1"/>
  <c r="J43" i="1"/>
  <c r="K43" i="1"/>
  <c r="L43" i="1"/>
  <c r="G40" i="1"/>
  <c r="H40" i="1"/>
  <c r="I40" i="1"/>
  <c r="J40" i="1"/>
  <c r="K40" i="1"/>
  <c r="L40" i="1"/>
  <c r="G42" i="1"/>
  <c r="H42" i="1"/>
  <c r="I42" i="1"/>
  <c r="J42" i="1"/>
  <c r="K42" i="1"/>
  <c r="L42" i="1"/>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1" i="15"/>
  <c r="L44" i="15"/>
  <c r="L45"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1" i="15"/>
  <c r="K44" i="15"/>
  <c r="K45"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1" i="15"/>
  <c r="J44" i="15"/>
  <c r="J45"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1" i="15"/>
  <c r="I44" i="15"/>
  <c r="I45"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I105" i="15"/>
  <c r="I106" i="15"/>
  <c r="I107" i="15"/>
  <c r="I108" i="15"/>
  <c r="I109" i="15"/>
  <c r="I110" i="15"/>
  <c r="I111" i="15"/>
  <c r="I112" i="15"/>
  <c r="I113" i="15"/>
  <c r="I114" i="15"/>
  <c r="I115" i="15"/>
  <c r="I116" i="15"/>
  <c r="I117" i="15"/>
  <c r="I118" i="15"/>
  <c r="I119" i="15"/>
  <c r="I120" i="15"/>
  <c r="I121" i="15"/>
  <c r="I122" i="15"/>
  <c r="I123" i="15"/>
  <c r="I124" i="15"/>
  <c r="I125" i="15"/>
  <c r="I126" i="15"/>
  <c r="I127" i="15"/>
  <c r="I128" i="15"/>
  <c r="I129" i="15"/>
  <c r="I130" i="15"/>
  <c r="I131" i="15"/>
  <c r="I132" i="15"/>
  <c r="I133" i="15"/>
  <c r="I134" i="15"/>
  <c r="I135" i="15"/>
  <c r="I136" i="15"/>
  <c r="I137" i="15"/>
  <c r="I138" i="15"/>
  <c r="I139" i="15"/>
  <c r="I140" i="15"/>
  <c r="I141" i="15"/>
  <c r="I142" i="15"/>
  <c r="I143" i="15"/>
  <c r="I144" i="15"/>
  <c r="I145" i="15"/>
  <c r="I146" i="15"/>
  <c r="I147" i="15"/>
  <c r="I148" i="15"/>
  <c r="I149" i="15"/>
  <c r="I150" i="15"/>
  <c r="I151" i="15"/>
  <c r="I152" i="15"/>
  <c r="I153" i="15"/>
  <c r="I154"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1" i="15"/>
  <c r="H44" i="15"/>
  <c r="H45"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1" i="15"/>
  <c r="G44" i="15"/>
  <c r="G45" i="15"/>
  <c r="G47" i="15"/>
  <c r="G48" i="15"/>
  <c r="G49" i="15"/>
  <c r="G50" i="15"/>
  <c r="G51" i="15"/>
  <c r="T51" i="15" s="1"/>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T79" i="15" s="1"/>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T35" i="15"/>
  <c r="B170" i="3"/>
  <c r="F170" i="3" s="1"/>
  <c r="G170" i="3" s="1"/>
  <c r="B168" i="3"/>
  <c r="F168" i="3" s="1"/>
  <c r="G168" i="3" s="1"/>
  <c r="B153" i="3"/>
  <c r="F153" i="3" s="1"/>
  <c r="G153" i="3" s="1"/>
  <c r="B150" i="3"/>
  <c r="F150" i="3" s="1"/>
  <c r="G150" i="3" s="1"/>
  <c r="B147" i="3"/>
  <c r="F147" i="3" s="1"/>
  <c r="G147" i="3" s="1"/>
  <c r="B141" i="3"/>
  <c r="F141" i="3" s="1"/>
  <c r="G141" i="3" s="1"/>
  <c r="B139" i="3"/>
  <c r="F139" i="3" s="1"/>
  <c r="G139" i="3" s="1"/>
  <c r="B137" i="3"/>
  <c r="F137" i="3" s="1"/>
  <c r="G137" i="3" s="1"/>
  <c r="B135" i="3"/>
  <c r="F135" i="3" s="1"/>
  <c r="G135" i="3" s="1"/>
  <c r="B130" i="3"/>
  <c r="F130" i="3" s="1"/>
  <c r="G130" i="3" s="1"/>
  <c r="B124" i="3"/>
  <c r="F124" i="3" s="1"/>
  <c r="G124" i="3" s="1"/>
  <c r="B120" i="3"/>
  <c r="F120" i="3" s="1"/>
  <c r="G120" i="3" s="1"/>
  <c r="B118" i="3"/>
  <c r="F118" i="3" s="1"/>
  <c r="G118" i="3" s="1"/>
  <c r="B110" i="3"/>
  <c r="F110" i="3" s="1"/>
  <c r="G110" i="3" s="1"/>
  <c r="B88" i="3"/>
  <c r="F88" i="3" s="1"/>
  <c r="G88" i="3" s="1"/>
  <c r="B84" i="3"/>
  <c r="F84" i="3" s="1"/>
  <c r="G84" i="3" s="1"/>
  <c r="B76" i="3"/>
  <c r="F76" i="3" s="1"/>
  <c r="G76" i="3" s="1"/>
  <c r="B74" i="3"/>
  <c r="F74" i="3" s="1"/>
  <c r="G74" i="3" s="1"/>
  <c r="B7" i="3"/>
  <c r="F7" i="3" s="1"/>
  <c r="G7" i="3" s="1"/>
  <c r="C30" i="4"/>
  <c r="J112" i="20" l="1"/>
  <c r="J48" i="20"/>
  <c r="J28" i="20"/>
  <c r="J15" i="20"/>
  <c r="J69" i="20"/>
  <c r="T92" i="20"/>
  <c r="T76" i="20"/>
  <c r="J65" i="20"/>
  <c r="J115" i="20"/>
  <c r="J79" i="20"/>
  <c r="J43" i="20"/>
  <c r="J86" i="20"/>
  <c r="J30" i="20"/>
  <c r="T15" i="20"/>
  <c r="T72" i="20"/>
  <c r="J108" i="20"/>
  <c r="T68" i="20"/>
  <c r="J71" i="20"/>
  <c r="T19" i="20"/>
  <c r="T37" i="20"/>
  <c r="T43" i="20"/>
  <c r="T107" i="20"/>
  <c r="T69" i="20"/>
  <c r="T101" i="20"/>
  <c r="T25" i="20"/>
  <c r="T57" i="20"/>
  <c r="T89" i="20"/>
  <c r="T22" i="20"/>
  <c r="T54" i="20"/>
  <c r="T86" i="20"/>
  <c r="T18" i="20"/>
  <c r="T50" i="20"/>
  <c r="T82" i="20"/>
  <c r="T114" i="20"/>
  <c r="J64" i="20"/>
  <c r="J16" i="20"/>
  <c r="T60" i="20"/>
  <c r="T108" i="20"/>
  <c r="J105" i="20"/>
  <c r="J63" i="20"/>
  <c r="J31" i="20"/>
  <c r="T88" i="20"/>
  <c r="T100" i="20"/>
  <c r="J22" i="20"/>
  <c r="T53" i="20"/>
  <c r="T116" i="20"/>
  <c r="T73" i="20"/>
  <c r="T105" i="20"/>
  <c r="T70" i="20"/>
  <c r="T34" i="20"/>
  <c r="J44" i="20"/>
  <c r="J20" i="20"/>
  <c r="J85" i="20"/>
  <c r="J61" i="20"/>
  <c r="T23" i="20"/>
  <c r="T87" i="20"/>
  <c r="J49" i="20"/>
  <c r="J107" i="20"/>
  <c r="J75" i="20"/>
  <c r="J73" i="20"/>
  <c r="J70" i="20"/>
  <c r="T115" i="20"/>
  <c r="T40" i="20"/>
  <c r="T83" i="20"/>
  <c r="J92" i="20"/>
  <c r="T79" i="20"/>
  <c r="J55" i="20"/>
  <c r="T35" i="20"/>
  <c r="J38" i="20"/>
  <c r="T59" i="20"/>
  <c r="T45" i="20"/>
  <c r="T77" i="20"/>
  <c r="T109" i="20"/>
  <c r="T33" i="20"/>
  <c r="T65" i="20"/>
  <c r="T97" i="20"/>
  <c r="T30" i="20"/>
  <c r="T62" i="20"/>
  <c r="T94" i="20"/>
  <c r="T26" i="20"/>
  <c r="T58" i="20"/>
  <c r="T90" i="20"/>
  <c r="J36" i="20"/>
  <c r="J109" i="20"/>
  <c r="J101" i="20"/>
  <c r="J99" i="20"/>
  <c r="J17" i="20"/>
  <c r="J54" i="20"/>
  <c r="T51" i="20"/>
  <c r="T31" i="20"/>
  <c r="J37" i="20"/>
  <c r="T16" i="20"/>
  <c r="T75" i="20"/>
  <c r="T85" i="20"/>
  <c r="T41" i="20"/>
  <c r="T38" i="20"/>
  <c r="T102" i="20"/>
  <c r="J77" i="20"/>
  <c r="J81" i="20"/>
  <c r="J34" i="20"/>
  <c r="T47" i="20"/>
  <c r="T24" i="20"/>
  <c r="T17" i="20"/>
  <c r="T46" i="20"/>
  <c r="T66" i="20"/>
  <c r="J32" i="20"/>
  <c r="J47" i="20"/>
  <c r="J21" i="20"/>
  <c r="T81" i="20"/>
  <c r="T110" i="20"/>
  <c r="J53" i="20"/>
  <c r="T104" i="20"/>
  <c r="T93" i="20"/>
  <c r="T42" i="20"/>
  <c r="J52" i="20"/>
  <c r="T71" i="20"/>
  <c r="J83" i="20"/>
  <c r="J27" i="20"/>
  <c r="T111" i="20"/>
  <c r="T91" i="20"/>
  <c r="T49" i="20"/>
  <c r="T78" i="20"/>
  <c r="T74" i="20"/>
  <c r="T44" i="20"/>
  <c r="T56" i="20"/>
  <c r="T61" i="20"/>
  <c r="T98" i="20"/>
  <c r="J116" i="20"/>
  <c r="J113" i="20"/>
  <c r="J102" i="20"/>
  <c r="T27" i="20"/>
  <c r="T113" i="20"/>
  <c r="T106" i="20"/>
  <c r="J68" i="20"/>
  <c r="T32" i="20"/>
  <c r="J42" i="20"/>
  <c r="J51" i="20"/>
  <c r="J88" i="20"/>
  <c r="J89" i="20"/>
  <c r="T84" i="20"/>
  <c r="J94" i="20"/>
  <c r="J95" i="20"/>
  <c r="T99" i="20"/>
  <c r="T29" i="20"/>
  <c r="J26" i="20"/>
  <c r="J35" i="20"/>
  <c r="J104" i="20"/>
  <c r="J57" i="20"/>
  <c r="J66" i="20"/>
  <c r="J59" i="20"/>
  <c r="T103" i="20"/>
  <c r="T63" i="20"/>
  <c r="T48" i="20"/>
  <c r="T95" i="20"/>
  <c r="J96" i="20"/>
  <c r="T112" i="20"/>
  <c r="J78" i="20"/>
  <c r="T67" i="20"/>
  <c r="T80" i="20"/>
  <c r="J56" i="20"/>
  <c r="J50" i="20"/>
  <c r="T55" i="20"/>
  <c r="J100" i="20"/>
  <c r="T64" i="20"/>
  <c r="J74" i="20"/>
  <c r="J87" i="20"/>
  <c r="J111" i="20"/>
  <c r="T28" i="20"/>
  <c r="J46" i="20"/>
  <c r="J110" i="20"/>
  <c r="J60" i="20"/>
  <c r="J29" i="20"/>
  <c r="T20" i="20"/>
  <c r="J58" i="20"/>
  <c r="J67" i="20"/>
  <c r="J93" i="20"/>
  <c r="J103" i="20"/>
  <c r="J82" i="20"/>
  <c r="J80" i="20"/>
  <c r="J33" i="20"/>
  <c r="J40" i="20"/>
  <c r="J24" i="20"/>
  <c r="J98" i="20"/>
  <c r="T21" i="20"/>
  <c r="T39" i="20"/>
  <c r="J19" i="20"/>
  <c r="J72" i="20"/>
  <c r="J25" i="20"/>
  <c r="T52" i="20"/>
  <c r="J39" i="20"/>
  <c r="J97" i="20"/>
  <c r="J91" i="20"/>
  <c r="J41" i="20"/>
  <c r="J114" i="20"/>
  <c r="J84" i="20"/>
  <c r="T96" i="20"/>
  <c r="J106" i="20"/>
  <c r="T36" i="20"/>
  <c r="J62" i="20"/>
  <c r="J23" i="20"/>
  <c r="J76" i="20"/>
  <c r="J45" i="20"/>
  <c r="J90" i="20"/>
  <c r="J18" i="20"/>
  <c r="J7" i="19"/>
  <c r="J11" i="19"/>
  <c r="J15" i="19"/>
  <c r="J19" i="19"/>
  <c r="J23" i="19"/>
  <c r="G7" i="19"/>
  <c r="G11" i="19"/>
  <c r="G15" i="19"/>
  <c r="G19" i="19"/>
  <c r="G23" i="19"/>
  <c r="J6" i="19"/>
  <c r="J10" i="19"/>
  <c r="J14" i="19"/>
  <c r="J18" i="19"/>
  <c r="J22" i="19"/>
  <c r="G6" i="19"/>
  <c r="G10" i="19"/>
  <c r="G14" i="19"/>
  <c r="G22" i="19"/>
  <c r="J8" i="19"/>
  <c r="J12" i="19"/>
  <c r="J16" i="19"/>
  <c r="J20" i="19"/>
  <c r="G8" i="19"/>
  <c r="G12" i="19"/>
  <c r="G16" i="19"/>
  <c r="G20" i="19"/>
  <c r="G18" i="19"/>
  <c r="J9" i="19"/>
  <c r="J13" i="19"/>
  <c r="J17" i="19"/>
  <c r="J21" i="19"/>
  <c r="G9" i="19"/>
  <c r="G13" i="19"/>
  <c r="G17" i="19"/>
  <c r="G21" i="19"/>
  <c r="M40" i="15"/>
  <c r="M7" i="15"/>
  <c r="M44" i="15"/>
  <c r="M49" i="15"/>
  <c r="M53" i="15"/>
  <c r="M57" i="15"/>
  <c r="M42" i="1"/>
  <c r="N58" i="15"/>
  <c r="N54" i="15"/>
  <c r="N50" i="15"/>
  <c r="N46" i="15"/>
  <c r="N42" i="15"/>
  <c r="N8" i="15"/>
  <c r="N39" i="1"/>
  <c r="N43" i="1"/>
  <c r="N47" i="1"/>
  <c r="N51" i="1"/>
  <c r="N55" i="1"/>
  <c r="N59" i="1"/>
  <c r="N56" i="15"/>
  <c r="N52" i="15"/>
  <c r="N44" i="15"/>
  <c r="N40" i="15"/>
  <c r="N7" i="1"/>
  <c r="N41" i="1"/>
  <c r="N45" i="1"/>
  <c r="N49" i="1"/>
  <c r="N57" i="1"/>
  <c r="N59" i="15"/>
  <c r="N47" i="15"/>
  <c r="N39" i="15"/>
  <c r="N42" i="1"/>
  <c r="N50" i="1"/>
  <c r="N54" i="1"/>
  <c r="N57" i="15"/>
  <c r="N53" i="15"/>
  <c r="N49" i="15"/>
  <c r="N45" i="15"/>
  <c r="N41" i="15"/>
  <c r="N7" i="15"/>
  <c r="N40" i="1"/>
  <c r="N44" i="1"/>
  <c r="N48" i="1"/>
  <c r="N52" i="1"/>
  <c r="N56" i="1"/>
  <c r="N48" i="15"/>
  <c r="N53" i="1"/>
  <c r="N55" i="15"/>
  <c r="N51" i="15"/>
  <c r="N43" i="15"/>
  <c r="N8" i="1"/>
  <c r="N46" i="1"/>
  <c r="N58" i="1"/>
  <c r="M8" i="15"/>
  <c r="M45" i="15"/>
  <c r="M50" i="15"/>
  <c r="M54" i="15"/>
  <c r="M58" i="15"/>
  <c r="M46" i="1"/>
  <c r="M46" i="15"/>
  <c r="M39" i="15"/>
  <c r="M47" i="15"/>
  <c r="M51" i="15"/>
  <c r="M55" i="15"/>
  <c r="M59" i="15"/>
  <c r="M43" i="1"/>
  <c r="M42" i="15"/>
  <c r="M41" i="15"/>
  <c r="M48" i="15"/>
  <c r="M52" i="15"/>
  <c r="M56" i="15"/>
  <c r="M40" i="1"/>
  <c r="M43" i="15"/>
  <c r="H30" i="4"/>
  <c r="T74" i="15"/>
  <c r="T64" i="15"/>
  <c r="T36" i="15"/>
  <c r="T52" i="15"/>
  <c r="T56" i="15"/>
  <c r="T69" i="15"/>
  <c r="T65" i="15"/>
  <c r="T53" i="15"/>
  <c r="T39" i="15"/>
  <c r="T31" i="15"/>
  <c r="T30" i="15"/>
  <c r="O156" i="15"/>
  <c r="K156" i="15"/>
  <c r="G156" i="15"/>
  <c r="F156" i="15"/>
  <c r="Q156" i="15"/>
  <c r="M156" i="15"/>
  <c r="I156" i="15"/>
  <c r="E156" i="15"/>
  <c r="D156" i="15"/>
  <c r="T98" i="15"/>
  <c r="T90" i="15"/>
  <c r="T86" i="15"/>
  <c r="T75" i="15"/>
  <c r="T71" i="15"/>
  <c r="T67" i="15"/>
  <c r="T63" i="15"/>
  <c r="T59" i="15"/>
  <c r="T55" i="15"/>
  <c r="T47" i="15"/>
  <c r="T103" i="15"/>
  <c r="T68" i="15"/>
  <c r="T60" i="15"/>
  <c r="T48" i="15"/>
  <c r="T32" i="15"/>
  <c r="T112" i="15"/>
  <c r="T88" i="15"/>
  <c r="T9" i="15"/>
  <c r="T40" i="15"/>
  <c r="T46" i="15"/>
  <c r="T42" i="15"/>
  <c r="T43" i="15"/>
  <c r="T119" i="15"/>
  <c r="T72" i="15"/>
  <c r="T61" i="15"/>
  <c r="T57" i="15"/>
  <c r="T49" i="15"/>
  <c r="T44" i="15"/>
  <c r="T37" i="15"/>
  <c r="T18" i="15"/>
  <c r="T94" i="15"/>
  <c r="T46" i="1"/>
  <c r="T43" i="1"/>
  <c r="T40" i="1"/>
  <c r="T42" i="1"/>
  <c r="T84" i="15"/>
  <c r="T100" i="15"/>
  <c r="T96" i="15"/>
  <c r="T92" i="15"/>
  <c r="T81" i="15"/>
  <c r="T77" i="15"/>
  <c r="T73" i="15"/>
  <c r="T146" i="15"/>
  <c r="T142" i="15"/>
  <c r="T134" i="15"/>
  <c r="T130" i="15"/>
  <c r="T126" i="15"/>
  <c r="T122" i="15"/>
  <c r="T118" i="15"/>
  <c r="T131" i="15"/>
  <c r="T127" i="15"/>
  <c r="T123" i="15"/>
  <c r="T115" i="15"/>
  <c r="T111" i="15"/>
  <c r="T107" i="15"/>
  <c r="T99" i="15"/>
  <c r="T95" i="15"/>
  <c r="T91" i="15"/>
  <c r="T87" i="15"/>
  <c r="T76" i="15"/>
  <c r="T133" i="15"/>
  <c r="T129" i="15"/>
  <c r="T125" i="15"/>
  <c r="T121" i="15"/>
  <c r="T117" i="15"/>
  <c r="T109" i="15"/>
  <c r="T105" i="15"/>
  <c r="T101" i="15"/>
  <c r="T93" i="15"/>
  <c r="T89" i="15"/>
  <c r="T85" i="15"/>
  <c r="T78" i="15"/>
  <c r="T70" i="15"/>
  <c r="T114" i="15"/>
  <c r="T106" i="15"/>
  <c r="T102" i="15"/>
  <c r="T83" i="15"/>
  <c r="T141" i="15"/>
  <c r="T113" i="15"/>
  <c r="T97" i="15"/>
  <c r="T66" i="15"/>
  <c r="T62" i="15"/>
  <c r="T58" i="15"/>
  <c r="T54" i="15"/>
  <c r="T50" i="15"/>
  <c r="T45" i="15"/>
  <c r="T110" i="15"/>
  <c r="T148" i="15"/>
  <c r="T144" i="15"/>
  <c r="T140" i="15"/>
  <c r="T136" i="15"/>
  <c r="T128" i="15"/>
  <c r="T150" i="15"/>
  <c r="T149" i="15"/>
  <c r="T154" i="15"/>
  <c r="T153" i="15"/>
  <c r="T145" i="15"/>
  <c r="T137" i="15"/>
  <c r="T152" i="15"/>
  <c r="T132" i="15"/>
  <c r="T124" i="15"/>
  <c r="T120" i="15"/>
  <c r="T108" i="15"/>
  <c r="T104" i="15"/>
  <c r="T151" i="15"/>
  <c r="T147" i="15"/>
  <c r="T143" i="15"/>
  <c r="T139" i="15"/>
  <c r="T135" i="15"/>
  <c r="T138" i="15"/>
  <c r="T7" i="15"/>
  <c r="T25" i="15"/>
  <c r="T29" i="15"/>
  <c r="T8" i="15"/>
  <c r="T11" i="15"/>
  <c r="T13" i="15"/>
  <c r="T14" i="15"/>
  <c r="T15" i="15"/>
  <c r="T16" i="15"/>
  <c r="T17" i="15"/>
  <c r="T19" i="15"/>
  <c r="T20" i="15"/>
  <c r="T21" i="15"/>
  <c r="T22" i="15"/>
  <c r="T23" i="15"/>
  <c r="T24" i="15"/>
  <c r="T26" i="15"/>
  <c r="T27" i="15"/>
  <c r="T28" i="15"/>
  <c r="T33" i="15"/>
  <c r="T34" i="15"/>
  <c r="T10" i="15"/>
  <c r="T12" i="15"/>
  <c r="T41" i="15"/>
  <c r="T38" i="15"/>
  <c r="T80" i="15"/>
  <c r="T82" i="15"/>
  <c r="T116" i="15"/>
  <c r="M59" i="1"/>
  <c r="M58" i="1"/>
  <c r="M47" i="1"/>
  <c r="M51" i="1"/>
  <c r="M39" i="1"/>
  <c r="M55" i="1"/>
  <c r="M41" i="1"/>
  <c r="M48" i="1"/>
  <c r="M52" i="1"/>
  <c r="M56" i="1"/>
  <c r="M7" i="1"/>
  <c r="M44" i="1"/>
  <c r="M49" i="1"/>
  <c r="M53" i="1"/>
  <c r="M57" i="1"/>
  <c r="M8" i="1"/>
  <c r="M45" i="1"/>
  <c r="M50" i="1"/>
  <c r="M54" i="1"/>
  <c r="H9" i="3"/>
  <c r="H13" i="3"/>
  <c r="H14" i="3"/>
  <c r="E8" i="3"/>
  <c r="E9" i="3"/>
  <c r="E10" i="3"/>
  <c r="G10" i="3" s="1"/>
  <c r="E11" i="3"/>
  <c r="G11" i="3" s="1"/>
  <c r="E12" i="3"/>
  <c r="G12" i="3" s="1"/>
  <c r="E13" i="3"/>
  <c r="E14" i="3"/>
  <c r="E15" i="3"/>
  <c r="G15" i="3" s="1"/>
  <c r="E16" i="3"/>
  <c r="G16" i="3" s="1"/>
  <c r="E17" i="3"/>
  <c r="G17" i="3" s="1"/>
  <c r="E18" i="3"/>
  <c r="G18" i="3" s="1"/>
  <c r="E19" i="3"/>
  <c r="G19" i="3" s="1"/>
  <c r="E20" i="3"/>
  <c r="G20" i="3" s="1"/>
  <c r="E21" i="3"/>
  <c r="G21" i="3" s="1"/>
  <c r="E22" i="3"/>
  <c r="G22" i="3" s="1"/>
  <c r="E23" i="3"/>
  <c r="G23" i="3" s="1"/>
  <c r="E24" i="3"/>
  <c r="G24" i="3" s="1"/>
  <c r="E25" i="3"/>
  <c r="G25" i="3" s="1"/>
  <c r="E26" i="3"/>
  <c r="G26" i="3" s="1"/>
  <c r="E28" i="3"/>
  <c r="G28" i="3" s="1"/>
  <c r="E29" i="3"/>
  <c r="G29" i="3" s="1"/>
  <c r="E30" i="3"/>
  <c r="G30" i="3" s="1"/>
  <c r="E31" i="3"/>
  <c r="G31" i="3" s="1"/>
  <c r="E32" i="3"/>
  <c r="G32" i="3" s="1"/>
  <c r="E33" i="3"/>
  <c r="G33" i="3" s="1"/>
  <c r="E34" i="3"/>
  <c r="G34" i="3" s="1"/>
  <c r="E35" i="3"/>
  <c r="G35" i="3" s="1"/>
  <c r="E36" i="3"/>
  <c r="G36" i="3" s="1"/>
  <c r="E37" i="3"/>
  <c r="G37" i="3" s="1"/>
  <c r="E38" i="3"/>
  <c r="G38" i="3" s="1"/>
  <c r="E39" i="3"/>
  <c r="G39" i="3" s="1"/>
  <c r="E40" i="3"/>
  <c r="G40" i="3" s="1"/>
  <c r="E41" i="3"/>
  <c r="G41" i="3" s="1"/>
  <c r="E42" i="3"/>
  <c r="G42" i="3" s="1"/>
  <c r="E43" i="3"/>
  <c r="G43" i="3" s="1"/>
  <c r="E44" i="3"/>
  <c r="G44" i="3" s="1"/>
  <c r="E45" i="3"/>
  <c r="G45" i="3" s="1"/>
  <c r="E46" i="3"/>
  <c r="G46" i="3" s="1"/>
  <c r="E47" i="3"/>
  <c r="G47" i="3" s="1"/>
  <c r="E48" i="3"/>
  <c r="G48" i="3" s="1"/>
  <c r="E49" i="3"/>
  <c r="G49" i="3" s="1"/>
  <c r="E50" i="3"/>
  <c r="G50" i="3" s="1"/>
  <c r="E51" i="3"/>
  <c r="G51" i="3" s="1"/>
  <c r="E52" i="3"/>
  <c r="G52" i="3" s="1"/>
  <c r="E53" i="3"/>
  <c r="G53" i="3" s="1"/>
  <c r="E54" i="3"/>
  <c r="G54" i="3" s="1"/>
  <c r="E55" i="3"/>
  <c r="G55" i="3" s="1"/>
  <c r="E56" i="3"/>
  <c r="G56" i="3" s="1"/>
  <c r="E57" i="3"/>
  <c r="G57" i="3" s="1"/>
  <c r="E58" i="3"/>
  <c r="G58" i="3" s="1"/>
  <c r="E59" i="3"/>
  <c r="G59" i="3" s="1"/>
  <c r="E60" i="3"/>
  <c r="G60" i="3" s="1"/>
  <c r="E61" i="3"/>
  <c r="G61" i="3" s="1"/>
  <c r="E62" i="3"/>
  <c r="G62" i="3" s="1"/>
  <c r="E63" i="3"/>
  <c r="G63" i="3" s="1"/>
  <c r="E64" i="3"/>
  <c r="G64" i="3" s="1"/>
  <c r="E65" i="3"/>
  <c r="G65" i="3" s="1"/>
  <c r="E66" i="3"/>
  <c r="G66" i="3" s="1"/>
  <c r="E67" i="3"/>
  <c r="G67" i="3" s="1"/>
  <c r="E68" i="3"/>
  <c r="G68" i="3" s="1"/>
  <c r="E69" i="3"/>
  <c r="G69" i="3" s="1"/>
  <c r="E70" i="3"/>
  <c r="G70" i="3" s="1"/>
  <c r="E71" i="3"/>
  <c r="G71" i="3" s="1"/>
  <c r="E72" i="3"/>
  <c r="G72" i="3" s="1"/>
  <c r="E73" i="3"/>
  <c r="G73" i="3" s="1"/>
  <c r="E75" i="3"/>
  <c r="G75" i="3" s="1"/>
  <c r="E77" i="3"/>
  <c r="G77" i="3" s="1"/>
  <c r="E78" i="3"/>
  <c r="G78" i="3" s="1"/>
  <c r="E79" i="3"/>
  <c r="G79" i="3" s="1"/>
  <c r="E80" i="3"/>
  <c r="G80" i="3" s="1"/>
  <c r="E81" i="3"/>
  <c r="G81" i="3" s="1"/>
  <c r="E82" i="3"/>
  <c r="G82" i="3" s="1"/>
  <c r="E83" i="3"/>
  <c r="G83" i="3" s="1"/>
  <c r="E85" i="3"/>
  <c r="G85" i="3" s="1"/>
  <c r="E86" i="3"/>
  <c r="G86" i="3" s="1"/>
  <c r="E87" i="3"/>
  <c r="G87" i="3" s="1"/>
  <c r="E89" i="3"/>
  <c r="G89" i="3" s="1"/>
  <c r="E90" i="3"/>
  <c r="G90" i="3" s="1"/>
  <c r="E91" i="3"/>
  <c r="G91" i="3" s="1"/>
  <c r="E92" i="3"/>
  <c r="G92" i="3" s="1"/>
  <c r="E93" i="3"/>
  <c r="G93" i="3" s="1"/>
  <c r="E94" i="3"/>
  <c r="G94" i="3" s="1"/>
  <c r="E95" i="3"/>
  <c r="G95" i="3" s="1"/>
  <c r="E96" i="3"/>
  <c r="G96" i="3" s="1"/>
  <c r="E97" i="3"/>
  <c r="G97" i="3" s="1"/>
  <c r="E98" i="3"/>
  <c r="G98" i="3" s="1"/>
  <c r="E99" i="3"/>
  <c r="G99" i="3" s="1"/>
  <c r="E100" i="3"/>
  <c r="G100" i="3" s="1"/>
  <c r="E101" i="3"/>
  <c r="G101" i="3" s="1"/>
  <c r="E102" i="3"/>
  <c r="G102" i="3" s="1"/>
  <c r="E103" i="3"/>
  <c r="G103" i="3" s="1"/>
  <c r="E104" i="3"/>
  <c r="G104" i="3" s="1"/>
  <c r="E105" i="3"/>
  <c r="G105" i="3" s="1"/>
  <c r="E106" i="3"/>
  <c r="G106" i="3" s="1"/>
  <c r="E107" i="3"/>
  <c r="G107" i="3" s="1"/>
  <c r="E108" i="3"/>
  <c r="G108" i="3" s="1"/>
  <c r="E109" i="3"/>
  <c r="G109" i="3" s="1"/>
  <c r="E111" i="3"/>
  <c r="G111" i="3" s="1"/>
  <c r="E112" i="3"/>
  <c r="G112" i="3" s="1"/>
  <c r="E113" i="3"/>
  <c r="G113" i="3" s="1"/>
  <c r="E114" i="3"/>
  <c r="G114" i="3" s="1"/>
  <c r="E115" i="3"/>
  <c r="G115" i="3" s="1"/>
  <c r="E116" i="3"/>
  <c r="G116" i="3" s="1"/>
  <c r="E117" i="3"/>
  <c r="G117" i="3" s="1"/>
  <c r="E119" i="3"/>
  <c r="G119" i="3" s="1"/>
  <c r="E121" i="3"/>
  <c r="G121" i="3" s="1"/>
  <c r="E122" i="3"/>
  <c r="G122" i="3" s="1"/>
  <c r="E123" i="3"/>
  <c r="G123" i="3" s="1"/>
  <c r="E125" i="3"/>
  <c r="G125" i="3" s="1"/>
  <c r="E126" i="3"/>
  <c r="G126" i="3" s="1"/>
  <c r="E127" i="3"/>
  <c r="G127" i="3" s="1"/>
  <c r="E128" i="3"/>
  <c r="G128" i="3" s="1"/>
  <c r="E129" i="3"/>
  <c r="G129" i="3" s="1"/>
  <c r="E131" i="3"/>
  <c r="G131" i="3" s="1"/>
  <c r="E132" i="3"/>
  <c r="G132" i="3" s="1"/>
  <c r="E133" i="3"/>
  <c r="G133" i="3" s="1"/>
  <c r="E134" i="3"/>
  <c r="G134" i="3" s="1"/>
  <c r="E136" i="3"/>
  <c r="G136" i="3" s="1"/>
  <c r="E138" i="3"/>
  <c r="G138" i="3" s="1"/>
  <c r="E140" i="3"/>
  <c r="G140" i="3" s="1"/>
  <c r="E142" i="3"/>
  <c r="G142" i="3" s="1"/>
  <c r="E143" i="3"/>
  <c r="G143" i="3" s="1"/>
  <c r="E144" i="3"/>
  <c r="G144" i="3" s="1"/>
  <c r="E145" i="3"/>
  <c r="G145" i="3" s="1"/>
  <c r="E146" i="3"/>
  <c r="G146" i="3" s="1"/>
  <c r="E148" i="3"/>
  <c r="G148" i="3" s="1"/>
  <c r="E149" i="3"/>
  <c r="G149" i="3" s="1"/>
  <c r="E151" i="3"/>
  <c r="G151" i="3" s="1"/>
  <c r="E152" i="3"/>
  <c r="G152" i="3" s="1"/>
  <c r="E154" i="3"/>
  <c r="G154" i="3" s="1"/>
  <c r="E155" i="3"/>
  <c r="G155" i="3" s="1"/>
  <c r="E156" i="3"/>
  <c r="G156" i="3" s="1"/>
  <c r="E157" i="3"/>
  <c r="G157" i="3" s="1"/>
  <c r="E158" i="3"/>
  <c r="G158" i="3" s="1"/>
  <c r="E159" i="3"/>
  <c r="G159" i="3" s="1"/>
  <c r="E160" i="3"/>
  <c r="G160" i="3" s="1"/>
  <c r="E161" i="3"/>
  <c r="G161" i="3" s="1"/>
  <c r="E162" i="3"/>
  <c r="G162" i="3" s="1"/>
  <c r="E163" i="3"/>
  <c r="G163" i="3" s="1"/>
  <c r="E164" i="3"/>
  <c r="G164" i="3" s="1"/>
  <c r="E165" i="3"/>
  <c r="G165" i="3" s="1"/>
  <c r="E166" i="3"/>
  <c r="G166" i="3" s="1"/>
  <c r="E167" i="3"/>
  <c r="G167" i="3" s="1"/>
  <c r="E169" i="3"/>
  <c r="G169" i="3" s="1"/>
  <c r="E171" i="3"/>
  <c r="G171" i="3" s="1"/>
  <c r="E172" i="3"/>
  <c r="G172" i="3" s="1"/>
  <c r="E173" i="3"/>
  <c r="G173" i="3" s="1"/>
  <c r="E174" i="3"/>
  <c r="G174" i="3" s="1"/>
  <c r="E175" i="3"/>
  <c r="G175" i="3" s="1"/>
  <c r="E176" i="3"/>
  <c r="G176" i="3" s="1"/>
  <c r="E177" i="3"/>
  <c r="G177" i="3" s="1"/>
  <c r="F12" i="16" l="1"/>
  <c r="D13" i="16"/>
  <c r="F13" i="16"/>
  <c r="T117" i="20"/>
  <c r="G6" i="4" s="1"/>
  <c r="J117" i="20"/>
  <c r="F7" i="4"/>
  <c r="G9" i="3"/>
  <c r="G13" i="3"/>
  <c r="G14" i="3"/>
  <c r="G8" i="3"/>
  <c r="F5" i="4"/>
  <c r="F6" i="4"/>
  <c r="G24" i="19"/>
  <c r="J24" i="19"/>
  <c r="R46" i="1"/>
  <c r="S46" i="1"/>
  <c r="Q46" i="1"/>
  <c r="P46" i="1"/>
  <c r="Q52" i="1"/>
  <c r="P52" i="1"/>
  <c r="R52" i="1"/>
  <c r="S52" i="1"/>
  <c r="R53" i="15"/>
  <c r="S53" i="15"/>
  <c r="P53" i="15"/>
  <c r="Q53" i="15"/>
  <c r="P57" i="1"/>
  <c r="Q57" i="1"/>
  <c r="R57" i="1"/>
  <c r="S57" i="1"/>
  <c r="R56" i="15"/>
  <c r="S56" i="15"/>
  <c r="Q56" i="15"/>
  <c r="P56" i="15"/>
  <c r="S42" i="15"/>
  <c r="Q42" i="15"/>
  <c r="P42" i="15"/>
  <c r="R42" i="15"/>
  <c r="R8" i="1"/>
  <c r="S8" i="1"/>
  <c r="Q8" i="1"/>
  <c r="P8" i="1"/>
  <c r="Q48" i="1"/>
  <c r="S48" i="1"/>
  <c r="P48" i="1"/>
  <c r="R48" i="1"/>
  <c r="R57" i="15"/>
  <c r="S57" i="15"/>
  <c r="Q57" i="15"/>
  <c r="P57" i="15"/>
  <c r="P49" i="1"/>
  <c r="S49" i="1"/>
  <c r="R49" i="1"/>
  <c r="Q49" i="1"/>
  <c r="S59" i="1"/>
  <c r="Q59" i="1"/>
  <c r="P59" i="1"/>
  <c r="R59" i="1"/>
  <c r="P46" i="15"/>
  <c r="Q46" i="15"/>
  <c r="R46" i="15"/>
  <c r="S46" i="15"/>
  <c r="P43" i="15"/>
  <c r="S43" i="15"/>
  <c r="R43" i="15"/>
  <c r="Q43" i="15"/>
  <c r="P48" i="15"/>
  <c r="Q48" i="15"/>
  <c r="S48" i="15"/>
  <c r="R48" i="15"/>
  <c r="Q44" i="1"/>
  <c r="R44" i="1"/>
  <c r="S44" i="1"/>
  <c r="P44" i="1"/>
  <c r="R45" i="15"/>
  <c r="S45" i="15"/>
  <c r="P45" i="15"/>
  <c r="Q45" i="15"/>
  <c r="R54" i="1"/>
  <c r="S54" i="1"/>
  <c r="Q54" i="1"/>
  <c r="P54" i="1"/>
  <c r="P47" i="15"/>
  <c r="Q47" i="15"/>
  <c r="R47" i="15"/>
  <c r="S47" i="15"/>
  <c r="P45" i="1"/>
  <c r="R45" i="1"/>
  <c r="S45" i="1"/>
  <c r="Q45" i="1"/>
  <c r="R44" i="15"/>
  <c r="Q44" i="15"/>
  <c r="P44" i="15"/>
  <c r="S44" i="15"/>
  <c r="S55" i="1"/>
  <c r="P55" i="1"/>
  <c r="R55" i="1"/>
  <c r="Q55" i="1"/>
  <c r="S39" i="1"/>
  <c r="P39" i="1"/>
  <c r="R39" i="1"/>
  <c r="Q39" i="1"/>
  <c r="Q50" i="15"/>
  <c r="S50" i="15"/>
  <c r="R50" i="15"/>
  <c r="P50" i="15"/>
  <c r="Q55" i="15"/>
  <c r="R55" i="15"/>
  <c r="P55" i="15"/>
  <c r="S55" i="15"/>
  <c r="P7" i="15"/>
  <c r="S7" i="15"/>
  <c r="R7" i="15"/>
  <c r="Q7" i="15"/>
  <c r="R42" i="1"/>
  <c r="S42" i="1"/>
  <c r="Q42" i="1"/>
  <c r="P42" i="1"/>
  <c r="P7" i="1"/>
  <c r="S7" i="1"/>
  <c r="Q7" i="1"/>
  <c r="R7" i="1"/>
  <c r="S47" i="1"/>
  <c r="P47" i="1"/>
  <c r="R47" i="1"/>
  <c r="Q47" i="1"/>
  <c r="S58" i="15"/>
  <c r="P58" i="15"/>
  <c r="Q58" i="15"/>
  <c r="R58" i="15"/>
  <c r="P53" i="1"/>
  <c r="S53" i="1"/>
  <c r="Q53" i="1"/>
  <c r="R53" i="1"/>
  <c r="R41" i="15"/>
  <c r="P41" i="15"/>
  <c r="S41" i="15"/>
  <c r="Q41" i="15"/>
  <c r="P39" i="15"/>
  <c r="R39" i="15"/>
  <c r="Q39" i="15"/>
  <c r="S39" i="15"/>
  <c r="P40" i="15"/>
  <c r="S40" i="15"/>
  <c r="Q40" i="15"/>
  <c r="R40" i="15"/>
  <c r="S43" i="1"/>
  <c r="Q43" i="1"/>
  <c r="R43" i="1"/>
  <c r="P43" i="1"/>
  <c r="R58" i="1"/>
  <c r="S58" i="1"/>
  <c r="Q58" i="1"/>
  <c r="P58" i="1"/>
  <c r="Q51" i="15"/>
  <c r="R51" i="15"/>
  <c r="P51" i="15"/>
  <c r="S51" i="15"/>
  <c r="Q56" i="1"/>
  <c r="R56" i="1"/>
  <c r="S56" i="1"/>
  <c r="P56" i="1"/>
  <c r="Q40" i="1"/>
  <c r="P40" i="1"/>
  <c r="R40" i="1"/>
  <c r="S40" i="1"/>
  <c r="R49" i="15"/>
  <c r="P49" i="15"/>
  <c r="Q49" i="15"/>
  <c r="S49" i="15"/>
  <c r="R50" i="1"/>
  <c r="P50" i="1"/>
  <c r="S50" i="1"/>
  <c r="Q50" i="1"/>
  <c r="Q59" i="15"/>
  <c r="R59" i="15"/>
  <c r="P59" i="15"/>
  <c r="S59" i="15"/>
  <c r="P41" i="1"/>
  <c r="Q41" i="1"/>
  <c r="R41" i="1"/>
  <c r="S41" i="1"/>
  <c r="Q52" i="15"/>
  <c r="R52" i="15"/>
  <c r="S52" i="15"/>
  <c r="P52" i="15"/>
  <c r="S51" i="1"/>
  <c r="P51" i="1"/>
  <c r="R51" i="1"/>
  <c r="Q51" i="1"/>
  <c r="P8" i="15"/>
  <c r="R8" i="15"/>
  <c r="Q8" i="15"/>
  <c r="S8" i="15"/>
  <c r="S54" i="15"/>
  <c r="R54" i="15"/>
  <c r="P54" i="15"/>
  <c r="Q54" i="15"/>
  <c r="D12" i="16"/>
  <c r="D8" i="16"/>
  <c r="F8" i="16"/>
  <c r="F7" i="16"/>
  <c r="D7" i="16"/>
  <c r="N60" i="15"/>
  <c r="N60" i="1"/>
  <c r="N28" i="15"/>
  <c r="N28" i="1"/>
  <c r="N16" i="15"/>
  <c r="N16" i="1"/>
  <c r="N151" i="15"/>
  <c r="N151" i="1"/>
  <c r="N139" i="1"/>
  <c r="N139" i="15"/>
  <c r="N96" i="15"/>
  <c r="N96" i="1"/>
  <c r="N65" i="1"/>
  <c r="N65" i="15"/>
  <c r="N61" i="1"/>
  <c r="N61" i="15"/>
  <c r="N130" i="1"/>
  <c r="N130" i="15"/>
  <c r="N25" i="1"/>
  <c r="N25" i="15"/>
  <c r="N14" i="1"/>
  <c r="N14" i="15"/>
  <c r="N148" i="15"/>
  <c r="N148" i="1"/>
  <c r="N140" i="15"/>
  <c r="N140" i="1"/>
  <c r="N136" i="15"/>
  <c r="N136" i="1"/>
  <c r="N132" i="15"/>
  <c r="N132" i="1"/>
  <c r="N97" i="1"/>
  <c r="N97" i="15"/>
  <c r="N93" i="1"/>
  <c r="N93" i="15"/>
  <c r="N115" i="15"/>
  <c r="N115" i="1"/>
  <c r="N108" i="15"/>
  <c r="N108" i="1"/>
  <c r="N103" i="15"/>
  <c r="N103" i="1"/>
  <c r="N91" i="15"/>
  <c r="N91" i="1"/>
  <c r="N87" i="15"/>
  <c r="N87" i="1"/>
  <c r="N83" i="15"/>
  <c r="N83" i="1"/>
  <c r="N75" i="15"/>
  <c r="N75" i="1"/>
  <c r="N129" i="1"/>
  <c r="N129" i="15"/>
  <c r="N24" i="15"/>
  <c r="N24" i="1"/>
  <c r="N147" i="15"/>
  <c r="N147" i="1"/>
  <c r="N135" i="15"/>
  <c r="N135" i="1"/>
  <c r="N106" i="1"/>
  <c r="N106" i="15"/>
  <c r="N63" i="15"/>
  <c r="N63" i="1"/>
  <c r="N66" i="1"/>
  <c r="N66" i="15"/>
  <c r="N31" i="15"/>
  <c r="N31" i="1"/>
  <c r="N23" i="15"/>
  <c r="N23" i="1"/>
  <c r="N19" i="15"/>
  <c r="N19" i="1"/>
  <c r="N12" i="15"/>
  <c r="N12" i="1"/>
  <c r="N154" i="1"/>
  <c r="N154" i="15"/>
  <c r="N150" i="15"/>
  <c r="N150" i="1"/>
  <c r="N146" i="1"/>
  <c r="N146" i="15"/>
  <c r="N138" i="15"/>
  <c r="N138" i="1"/>
  <c r="N134" i="1"/>
  <c r="N134" i="15"/>
  <c r="N99" i="1"/>
  <c r="N99" i="15"/>
  <c r="N95" i="15"/>
  <c r="N95" i="1"/>
  <c r="N110" i="1"/>
  <c r="N110" i="15"/>
  <c r="N105" i="1"/>
  <c r="N105" i="15"/>
  <c r="N101" i="1"/>
  <c r="N101" i="15"/>
  <c r="N89" i="1"/>
  <c r="N89" i="15"/>
  <c r="N81" i="1"/>
  <c r="N81" i="15"/>
  <c r="N32" i="15"/>
  <c r="N32" i="1"/>
  <c r="N9" i="1"/>
  <c r="N9" i="15"/>
  <c r="N143" i="15"/>
  <c r="N143" i="1"/>
  <c r="N107" i="15"/>
  <c r="N107" i="1"/>
  <c r="N90" i="15"/>
  <c r="N90" i="1"/>
  <c r="N82" i="15"/>
  <c r="N82" i="1"/>
  <c r="N34" i="1"/>
  <c r="N34" i="15"/>
  <c r="N26" i="1"/>
  <c r="N26" i="15"/>
  <c r="N22" i="1"/>
  <c r="N22" i="15"/>
  <c r="N11" i="15"/>
  <c r="N11" i="1"/>
  <c r="N145" i="1"/>
  <c r="N145" i="15"/>
  <c r="N141" i="1"/>
  <c r="N141" i="15"/>
  <c r="N137" i="1"/>
  <c r="N137" i="15"/>
  <c r="N98" i="15"/>
  <c r="N98" i="1"/>
  <c r="N94" i="1"/>
  <c r="N94" i="15"/>
  <c r="N116" i="15"/>
  <c r="N116" i="1"/>
  <c r="N112" i="15"/>
  <c r="N112" i="1"/>
  <c r="N109" i="1"/>
  <c r="N109" i="15"/>
  <c r="N100" i="15"/>
  <c r="N100" i="1"/>
  <c r="N84" i="15"/>
  <c r="N84" i="1"/>
  <c r="N80" i="15"/>
  <c r="N80" i="1"/>
  <c r="N76" i="15"/>
  <c r="N76" i="1"/>
  <c r="G7" i="4" l="1"/>
  <c r="G5" i="4"/>
  <c r="U46" i="15"/>
  <c r="U8" i="15"/>
  <c r="U42" i="15"/>
  <c r="U53" i="15"/>
  <c r="V53" i="15" s="1"/>
  <c r="U49" i="15"/>
  <c r="V49" i="15" s="1"/>
  <c r="U40" i="15"/>
  <c r="V40" i="15" s="1"/>
  <c r="U39" i="15"/>
  <c r="U41" i="15"/>
  <c r="V41" i="15" s="1"/>
  <c r="U42" i="1"/>
  <c r="V42" i="1" s="1"/>
  <c r="U55" i="15"/>
  <c r="V55" i="15" s="1"/>
  <c r="U44" i="15"/>
  <c r="V44" i="15" s="1"/>
  <c r="U47" i="15"/>
  <c r="V47" i="15" s="1"/>
  <c r="U54" i="15"/>
  <c r="V54" i="15" s="1"/>
  <c r="U52" i="15"/>
  <c r="V52" i="15" s="1"/>
  <c r="U59" i="15"/>
  <c r="V59" i="15" s="1"/>
  <c r="U40" i="1"/>
  <c r="V40" i="1" s="1"/>
  <c r="U51" i="15"/>
  <c r="U43" i="1"/>
  <c r="V43" i="1" s="1"/>
  <c r="U58" i="15"/>
  <c r="V58" i="15" s="1"/>
  <c r="U7" i="15"/>
  <c r="U50" i="15"/>
  <c r="V50" i="15" s="1"/>
  <c r="U45" i="15"/>
  <c r="V45" i="15" s="1"/>
  <c r="U48" i="15"/>
  <c r="V48" i="15" s="1"/>
  <c r="U43" i="15"/>
  <c r="V43" i="15" s="1"/>
  <c r="U57" i="15"/>
  <c r="V57" i="15" s="1"/>
  <c r="U56" i="15"/>
  <c r="V56" i="15" s="1"/>
  <c r="U46" i="1"/>
  <c r="V46" i="1" s="1"/>
  <c r="N74" i="15"/>
  <c r="N74" i="1"/>
  <c r="N77" i="1"/>
  <c r="N77" i="15"/>
  <c r="N73" i="1"/>
  <c r="N73" i="15"/>
  <c r="N78" i="15"/>
  <c r="N78" i="1"/>
  <c r="N79" i="15"/>
  <c r="N79" i="1"/>
  <c r="C175" i="3"/>
  <c r="C176" i="3"/>
  <c r="C177" i="3"/>
  <c r="D175" i="3"/>
  <c r="D176" i="3"/>
  <c r="D177" i="3"/>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1" i="1"/>
  <c r="L44" i="1"/>
  <c r="L45"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1" i="1"/>
  <c r="K44" i="1"/>
  <c r="K45"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1" i="1"/>
  <c r="J44" i="1"/>
  <c r="J45"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1" i="1"/>
  <c r="I44" i="1"/>
  <c r="I45"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1" i="1"/>
  <c r="H44" i="1"/>
  <c r="H45"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1" i="1"/>
  <c r="G44" i="1"/>
  <c r="G45"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D10" i="3"/>
  <c r="D11" i="3"/>
  <c r="M76" i="15" s="1"/>
  <c r="P76" i="15" s="1"/>
  <c r="D12" i="3"/>
  <c r="D15" i="3"/>
  <c r="M80" i="15" s="1"/>
  <c r="S80" i="15" s="1"/>
  <c r="D16" i="3"/>
  <c r="D17" i="3"/>
  <c r="M82" i="15" s="1"/>
  <c r="P82" i="15" s="1"/>
  <c r="D18" i="3"/>
  <c r="D19" i="3"/>
  <c r="M84" i="15" s="1"/>
  <c r="Q84" i="15" s="1"/>
  <c r="D20" i="3"/>
  <c r="M85" i="15" s="1"/>
  <c r="D21" i="3"/>
  <c r="M86" i="15" s="1"/>
  <c r="D22" i="3"/>
  <c r="D23" i="3"/>
  <c r="M88" i="15" s="1"/>
  <c r="D24" i="3"/>
  <c r="M89" i="15" s="1"/>
  <c r="D25" i="3"/>
  <c r="M90" i="15" s="1"/>
  <c r="P90" i="15" s="1"/>
  <c r="D26" i="3"/>
  <c r="D28" i="3"/>
  <c r="M100" i="15" s="1"/>
  <c r="D29" i="3"/>
  <c r="M101" i="15" s="1"/>
  <c r="D30" i="3"/>
  <c r="M102" i="15" s="1"/>
  <c r="D31" i="3"/>
  <c r="D32" i="3"/>
  <c r="M104" i="15" s="1"/>
  <c r="D33" i="3"/>
  <c r="M105" i="15" s="1"/>
  <c r="S105" i="15" s="1"/>
  <c r="D34" i="3"/>
  <c r="M106" i="15" s="1"/>
  <c r="S106" i="15" s="1"/>
  <c r="D49" i="3"/>
  <c r="D50" i="3"/>
  <c r="D51" i="3"/>
  <c r="D52" i="3"/>
  <c r="D53" i="3"/>
  <c r="D55" i="3"/>
  <c r="D56" i="3"/>
  <c r="M112" i="15" s="1"/>
  <c r="D57" i="3"/>
  <c r="M113" i="15" s="1"/>
  <c r="D58" i="3"/>
  <c r="M114" i="15" s="1"/>
  <c r="D59" i="3"/>
  <c r="D60" i="3"/>
  <c r="D61" i="3"/>
  <c r="M117" i="15" s="1"/>
  <c r="D62" i="3"/>
  <c r="M118" i="15" s="1"/>
  <c r="D63" i="3"/>
  <c r="D64" i="3"/>
  <c r="M120" i="15" s="1"/>
  <c r="D65" i="3"/>
  <c r="D66" i="3"/>
  <c r="D67" i="3"/>
  <c r="D68" i="3"/>
  <c r="D69" i="3"/>
  <c r="D70" i="3"/>
  <c r="D71" i="3"/>
  <c r="D72" i="3"/>
  <c r="D73" i="3"/>
  <c r="D75" i="3"/>
  <c r="M92" i="15" s="1"/>
  <c r="D77" i="3"/>
  <c r="D78" i="3"/>
  <c r="M94" i="15" s="1"/>
  <c r="Q94" i="15" s="1"/>
  <c r="D79" i="3"/>
  <c r="M95" i="15" s="1"/>
  <c r="R95" i="15" s="1"/>
  <c r="D80" i="3"/>
  <c r="M96" i="15" s="1"/>
  <c r="Q96" i="15" s="1"/>
  <c r="D81" i="3"/>
  <c r="D82" i="3"/>
  <c r="M98" i="15" s="1"/>
  <c r="S98" i="15" s="1"/>
  <c r="D83" i="3"/>
  <c r="M99" i="15" s="1"/>
  <c r="R99" i="15" s="1"/>
  <c r="D85" i="3"/>
  <c r="D86" i="3"/>
  <c r="D89" i="3"/>
  <c r="D90" i="3"/>
  <c r="D91" i="3"/>
  <c r="D92" i="3"/>
  <c r="M137" i="15" s="1"/>
  <c r="D93" i="3"/>
  <c r="M138" i="15" s="1"/>
  <c r="Q138" i="15" s="1"/>
  <c r="D94" i="3"/>
  <c r="M139" i="15" s="1"/>
  <c r="D95" i="3"/>
  <c r="D96" i="3"/>
  <c r="M141" i="15" s="1"/>
  <c r="D97" i="3"/>
  <c r="M142" i="15" s="1"/>
  <c r="D98" i="3"/>
  <c r="M143" i="15" s="1"/>
  <c r="R143" i="15" s="1"/>
  <c r="D99" i="3"/>
  <c r="M144" i="15" s="1"/>
  <c r="D100" i="3"/>
  <c r="M145" i="15" s="1"/>
  <c r="D101" i="3"/>
  <c r="M146" i="15" s="1"/>
  <c r="D102" i="3"/>
  <c r="M147" i="15" s="1"/>
  <c r="Q147" i="15" s="1"/>
  <c r="D103" i="3"/>
  <c r="D104" i="3"/>
  <c r="D105" i="3"/>
  <c r="M150" i="15" s="1"/>
  <c r="S150" i="15" s="1"/>
  <c r="D106" i="3"/>
  <c r="M151" i="15" s="1"/>
  <c r="S151" i="15" s="1"/>
  <c r="D107" i="3"/>
  <c r="D108" i="3"/>
  <c r="M153" i="15" s="1"/>
  <c r="D109" i="3"/>
  <c r="M154" i="15" s="1"/>
  <c r="D111" i="3"/>
  <c r="D112" i="3"/>
  <c r="M10" i="15" s="1"/>
  <c r="D113" i="3"/>
  <c r="M11" i="15" s="1"/>
  <c r="S11" i="15" s="1"/>
  <c r="D114" i="3"/>
  <c r="D115" i="3"/>
  <c r="M13" i="15" s="1"/>
  <c r="D116" i="3"/>
  <c r="D117" i="3"/>
  <c r="M15" i="15" s="1"/>
  <c r="D119" i="3"/>
  <c r="M38" i="15" s="1"/>
  <c r="D121" i="3"/>
  <c r="D122" i="3"/>
  <c r="D123" i="3"/>
  <c r="M18" i="15" s="1"/>
  <c r="D125" i="3"/>
  <c r="M19" i="15" s="1"/>
  <c r="Q19" i="15" s="1"/>
  <c r="D126" i="3"/>
  <c r="M20" i="15" s="1"/>
  <c r="D127" i="3"/>
  <c r="D128" i="3"/>
  <c r="D129" i="3"/>
  <c r="M23" i="15" s="1"/>
  <c r="D131" i="3"/>
  <c r="D132" i="3"/>
  <c r="D133" i="3"/>
  <c r="D134" i="3"/>
  <c r="M27" i="15" s="1"/>
  <c r="D136" i="3"/>
  <c r="D138" i="3"/>
  <c r="M29" i="15" s="1"/>
  <c r="D140" i="3"/>
  <c r="M30" i="15" s="1"/>
  <c r="D142" i="3"/>
  <c r="M31" i="15" s="1"/>
  <c r="D143" i="3"/>
  <c r="D144" i="3"/>
  <c r="M33" i="15" s="1"/>
  <c r="D145" i="3"/>
  <c r="D146" i="3"/>
  <c r="D148" i="3"/>
  <c r="M129" i="15" s="1"/>
  <c r="P129" i="15" s="1"/>
  <c r="D149" i="3"/>
  <c r="D151" i="3"/>
  <c r="M36" i="15" s="1"/>
  <c r="D152" i="3"/>
  <c r="D154" i="3"/>
  <c r="D155" i="3"/>
  <c r="D156" i="3"/>
  <c r="M62" i="15" s="1"/>
  <c r="D157" i="3"/>
  <c r="M63" i="15" s="1"/>
  <c r="D158" i="3"/>
  <c r="M64" i="15" s="1"/>
  <c r="D159" i="3"/>
  <c r="D160" i="3"/>
  <c r="M67" i="15" s="1"/>
  <c r="D167" i="3"/>
  <c r="D169" i="3"/>
  <c r="M37" i="15" s="1"/>
  <c r="C8" i="3"/>
  <c r="C9" i="3"/>
  <c r="C10" i="3"/>
  <c r="C11" i="3"/>
  <c r="C12" i="3"/>
  <c r="C13" i="3"/>
  <c r="C14" i="3"/>
  <c r="C15" i="3"/>
  <c r="C16" i="3"/>
  <c r="C17" i="3"/>
  <c r="C18" i="3"/>
  <c r="C19" i="3"/>
  <c r="C20" i="3"/>
  <c r="C21" i="3"/>
  <c r="C22" i="3"/>
  <c r="C23" i="3"/>
  <c r="C24" i="3"/>
  <c r="C25" i="3"/>
  <c r="C26" i="3"/>
  <c r="C28" i="3"/>
  <c r="C29" i="3"/>
  <c r="C30" i="3"/>
  <c r="C31" i="3"/>
  <c r="C32" i="3"/>
  <c r="C33" i="3"/>
  <c r="C34" i="3"/>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C50" i="3"/>
  <c r="C51" i="3"/>
  <c r="C52" i="3"/>
  <c r="C53" i="3"/>
  <c r="C54" i="3"/>
  <c r="D54" i="3" s="1"/>
  <c r="C55" i="3"/>
  <c r="C56" i="3"/>
  <c r="C57" i="3"/>
  <c r="C58" i="3"/>
  <c r="C59" i="3"/>
  <c r="C60" i="3"/>
  <c r="C61" i="3"/>
  <c r="C62" i="3"/>
  <c r="C63" i="3"/>
  <c r="C64" i="3"/>
  <c r="C65" i="3"/>
  <c r="C66" i="3"/>
  <c r="C67" i="3"/>
  <c r="C68" i="3"/>
  <c r="C69" i="3"/>
  <c r="C70" i="3"/>
  <c r="C71" i="3"/>
  <c r="C72" i="3"/>
  <c r="C73" i="3"/>
  <c r="C75" i="3"/>
  <c r="C77" i="3"/>
  <c r="C78" i="3"/>
  <c r="C79" i="3"/>
  <c r="C80" i="3"/>
  <c r="C81" i="3"/>
  <c r="C82" i="3"/>
  <c r="C83" i="3"/>
  <c r="C85" i="3"/>
  <c r="C86" i="3"/>
  <c r="C87" i="3"/>
  <c r="D87" i="3" s="1"/>
  <c r="M133" i="15" s="1"/>
  <c r="C89" i="3"/>
  <c r="C90" i="3"/>
  <c r="C91" i="3"/>
  <c r="C92" i="3"/>
  <c r="C93" i="3"/>
  <c r="C94" i="3"/>
  <c r="C95" i="3"/>
  <c r="C96" i="3"/>
  <c r="C97" i="3"/>
  <c r="C98" i="3"/>
  <c r="C99" i="3"/>
  <c r="C100" i="3"/>
  <c r="C101" i="3"/>
  <c r="C102" i="3"/>
  <c r="C103" i="3"/>
  <c r="C104" i="3"/>
  <c r="C105" i="3"/>
  <c r="C106" i="3"/>
  <c r="C107" i="3"/>
  <c r="C108" i="3"/>
  <c r="C109" i="3"/>
  <c r="C111" i="3"/>
  <c r="C112" i="3"/>
  <c r="C113" i="3"/>
  <c r="C114" i="3"/>
  <c r="C115" i="3"/>
  <c r="C116" i="3"/>
  <c r="C117" i="3"/>
  <c r="C119" i="3"/>
  <c r="C121" i="3"/>
  <c r="C122" i="3"/>
  <c r="C123" i="3"/>
  <c r="C125" i="3"/>
  <c r="C126" i="3"/>
  <c r="C127" i="3"/>
  <c r="C128" i="3"/>
  <c r="C129" i="3"/>
  <c r="C131" i="3"/>
  <c r="C132" i="3"/>
  <c r="C133" i="3"/>
  <c r="C134" i="3"/>
  <c r="C136" i="3"/>
  <c r="C138" i="3"/>
  <c r="C140" i="3"/>
  <c r="C142" i="3"/>
  <c r="C143" i="3"/>
  <c r="C144" i="3"/>
  <c r="C145" i="3"/>
  <c r="C146" i="3"/>
  <c r="C148" i="3"/>
  <c r="C149" i="3"/>
  <c r="C151" i="3"/>
  <c r="C152" i="3"/>
  <c r="C154" i="3"/>
  <c r="C155" i="3"/>
  <c r="C156" i="3"/>
  <c r="C157" i="3"/>
  <c r="C158" i="3"/>
  <c r="C159" i="3"/>
  <c r="C160" i="3"/>
  <c r="C161" i="3"/>
  <c r="D161" i="3" s="1"/>
  <c r="M68" i="15" s="1"/>
  <c r="C162" i="3"/>
  <c r="D162" i="3" s="1"/>
  <c r="M69" i="15" s="1"/>
  <c r="C163" i="3"/>
  <c r="D163" i="3" s="1"/>
  <c r="C164" i="3"/>
  <c r="D164" i="3" s="1"/>
  <c r="C165" i="3"/>
  <c r="C166" i="3"/>
  <c r="C167" i="3"/>
  <c r="C169" i="3"/>
  <c r="C171" i="3"/>
  <c r="D171" i="3" s="1"/>
  <c r="C172" i="3"/>
  <c r="D172" i="3" s="1"/>
  <c r="C173" i="3"/>
  <c r="D173" i="3" s="1"/>
  <c r="C174" i="3"/>
  <c r="D174" i="3" s="1"/>
  <c r="V46" i="15" l="1"/>
  <c r="V8" i="15"/>
  <c r="V39" i="15"/>
  <c r="V7" i="15"/>
  <c r="M149" i="15"/>
  <c r="M123" i="15"/>
  <c r="M21" i="15"/>
  <c r="M17" i="15"/>
  <c r="M152" i="15"/>
  <c r="M131" i="15"/>
  <c r="M126" i="15"/>
  <c r="M122" i="15"/>
  <c r="D14" i="3"/>
  <c r="D13" i="3"/>
  <c r="D9" i="3"/>
  <c r="D8" i="3"/>
  <c r="M73" i="1" s="1"/>
  <c r="M127" i="15"/>
  <c r="M119" i="15"/>
  <c r="M111" i="15"/>
  <c r="M128" i="15"/>
  <c r="M125" i="15"/>
  <c r="M121" i="15"/>
  <c r="M72" i="15"/>
  <c r="M35" i="15"/>
  <c r="M124" i="15"/>
  <c r="V42" i="15"/>
  <c r="V51" i="15"/>
  <c r="S95" i="15"/>
  <c r="Q23" i="15"/>
  <c r="S23" i="15"/>
  <c r="S154" i="15"/>
  <c r="Q154" i="15"/>
  <c r="P154" i="15"/>
  <c r="M134" i="1"/>
  <c r="S134" i="1" s="1"/>
  <c r="M134" i="15"/>
  <c r="M116" i="1"/>
  <c r="S116" i="1" s="1"/>
  <c r="M116" i="15"/>
  <c r="M108" i="1"/>
  <c r="S108" i="1" s="1"/>
  <c r="M108" i="15"/>
  <c r="M75" i="1"/>
  <c r="S75" i="1" s="1"/>
  <c r="M75" i="15"/>
  <c r="M34" i="1"/>
  <c r="S34" i="1" s="1"/>
  <c r="M34" i="15"/>
  <c r="M26" i="1"/>
  <c r="S26" i="1" s="1"/>
  <c r="M26" i="15"/>
  <c r="M22" i="1"/>
  <c r="S22" i="1" s="1"/>
  <c r="M22" i="15"/>
  <c r="P11" i="15"/>
  <c r="R11" i="15"/>
  <c r="R145" i="15"/>
  <c r="Q145" i="15"/>
  <c r="R141" i="15"/>
  <c r="P141" i="15"/>
  <c r="Q141" i="15"/>
  <c r="Q137" i="15"/>
  <c r="S137" i="15"/>
  <c r="P137" i="15"/>
  <c r="M132" i="1"/>
  <c r="S132" i="1" s="1"/>
  <c r="M132" i="15"/>
  <c r="M97" i="1"/>
  <c r="S97" i="1" s="1"/>
  <c r="M97" i="15"/>
  <c r="M93" i="1"/>
  <c r="S93" i="1" s="1"/>
  <c r="M93" i="15"/>
  <c r="M115" i="1"/>
  <c r="S115" i="1" s="1"/>
  <c r="M115" i="15"/>
  <c r="M107" i="1"/>
  <c r="S107" i="1" s="1"/>
  <c r="M107" i="15"/>
  <c r="Q100" i="15"/>
  <c r="S100" i="15"/>
  <c r="P100" i="15"/>
  <c r="R100" i="15"/>
  <c r="R84" i="15"/>
  <c r="P84" i="15"/>
  <c r="P80" i="15"/>
  <c r="Q80" i="15"/>
  <c r="R80" i="15"/>
  <c r="S147" i="15"/>
  <c r="R23" i="15"/>
  <c r="P150" i="15"/>
  <c r="R138" i="15"/>
  <c r="Q82" i="15"/>
  <c r="P139" i="15"/>
  <c r="R154" i="15"/>
  <c r="S145" i="15"/>
  <c r="P63" i="15"/>
  <c r="R63" i="15"/>
  <c r="Q63" i="15"/>
  <c r="R31" i="15"/>
  <c r="Q31" i="15"/>
  <c r="P31" i="15"/>
  <c r="R19" i="15"/>
  <c r="S19" i="15"/>
  <c r="P19" i="15"/>
  <c r="M12" i="1"/>
  <c r="S12" i="1" s="1"/>
  <c r="M12" i="15"/>
  <c r="S146" i="15"/>
  <c r="R146" i="15"/>
  <c r="P146" i="15"/>
  <c r="P98" i="15"/>
  <c r="R98" i="15"/>
  <c r="R112" i="15"/>
  <c r="S112" i="15"/>
  <c r="P112" i="15"/>
  <c r="P101" i="15"/>
  <c r="S101" i="15"/>
  <c r="R101" i="15"/>
  <c r="Q101" i="15"/>
  <c r="Q89" i="15"/>
  <c r="S89" i="15"/>
  <c r="P89" i="15"/>
  <c r="M81" i="1"/>
  <c r="S81" i="1" s="1"/>
  <c r="M81" i="15"/>
  <c r="P23" i="15"/>
  <c r="M73" i="15"/>
  <c r="S73" i="15" s="1"/>
  <c r="M65" i="1"/>
  <c r="S65" i="1" s="1"/>
  <c r="M65" i="15"/>
  <c r="M61" i="1"/>
  <c r="S61" i="1" s="1"/>
  <c r="M61" i="15"/>
  <c r="M130" i="1"/>
  <c r="S130" i="1" s="1"/>
  <c r="M130" i="15"/>
  <c r="M25" i="1"/>
  <c r="S25" i="1" s="1"/>
  <c r="M25" i="15"/>
  <c r="M14" i="1"/>
  <c r="S14" i="1" s="1"/>
  <c r="M14" i="15"/>
  <c r="M148" i="1"/>
  <c r="S148" i="1" s="1"/>
  <c r="M148" i="15"/>
  <c r="M140" i="1"/>
  <c r="S140" i="1" s="1"/>
  <c r="M140" i="15"/>
  <c r="M136" i="1"/>
  <c r="S136" i="1" s="1"/>
  <c r="M136" i="15"/>
  <c r="R96" i="15"/>
  <c r="S96" i="15"/>
  <c r="M110" i="1"/>
  <c r="S110" i="1" s="1"/>
  <c r="M110" i="15"/>
  <c r="M103" i="1"/>
  <c r="S103" i="1" s="1"/>
  <c r="M103" i="15"/>
  <c r="M91" i="1"/>
  <c r="S91" i="1" s="1"/>
  <c r="M91" i="15"/>
  <c r="M87" i="1"/>
  <c r="S87" i="1" s="1"/>
  <c r="M87" i="15"/>
  <c r="M83" i="1"/>
  <c r="S83" i="1" s="1"/>
  <c r="M83" i="15"/>
  <c r="M77" i="1"/>
  <c r="S77" i="1" s="1"/>
  <c r="M77" i="15"/>
  <c r="R77" i="15" s="1"/>
  <c r="Q98" i="15"/>
  <c r="P96" i="15"/>
  <c r="Q146" i="15"/>
  <c r="R89" i="15"/>
  <c r="P145" i="15"/>
  <c r="S31" i="15"/>
  <c r="M66" i="1"/>
  <c r="S66" i="1" s="1"/>
  <c r="M66" i="15"/>
  <c r="Q150" i="15"/>
  <c r="R150" i="15"/>
  <c r="S138" i="15"/>
  <c r="P94" i="15"/>
  <c r="S94" i="15"/>
  <c r="R94" i="15"/>
  <c r="R105" i="15"/>
  <c r="Q105" i="15"/>
  <c r="P105" i="15"/>
  <c r="M60" i="1"/>
  <c r="S60" i="1" s="1"/>
  <c r="M60" i="15"/>
  <c r="Q129" i="15"/>
  <c r="R129" i="15"/>
  <c r="S129" i="15"/>
  <c r="M32" i="1"/>
  <c r="S32" i="1" s="1"/>
  <c r="M32" i="15"/>
  <c r="M28" i="1"/>
  <c r="S28" i="1" s="1"/>
  <c r="M28" i="15"/>
  <c r="M24" i="1"/>
  <c r="S24" i="1" s="1"/>
  <c r="M24" i="15"/>
  <c r="M16" i="1"/>
  <c r="S16" i="1" s="1"/>
  <c r="M16" i="15"/>
  <c r="M9" i="1"/>
  <c r="P9" i="1" s="1"/>
  <c r="M9" i="15"/>
  <c r="Q151" i="15"/>
  <c r="P151" i="15"/>
  <c r="R151" i="15"/>
  <c r="P147" i="15"/>
  <c r="P143" i="15"/>
  <c r="Q143" i="15"/>
  <c r="R139" i="15"/>
  <c r="S139" i="15"/>
  <c r="Q139" i="15"/>
  <c r="M135" i="1"/>
  <c r="S135" i="1" s="1"/>
  <c r="M135" i="15"/>
  <c r="Q99" i="15"/>
  <c r="P99" i="15"/>
  <c r="S99" i="15"/>
  <c r="Q95" i="15"/>
  <c r="P95" i="15"/>
  <c r="M109" i="1"/>
  <c r="S109" i="1" s="1"/>
  <c r="M109" i="15"/>
  <c r="Q106" i="15"/>
  <c r="R106" i="15"/>
  <c r="P106" i="15"/>
  <c r="R90" i="15"/>
  <c r="S90" i="15"/>
  <c r="Q90" i="15"/>
  <c r="S82" i="15"/>
  <c r="R82" i="15"/>
  <c r="Q76" i="15"/>
  <c r="R76" i="15"/>
  <c r="S76" i="15"/>
  <c r="R147" i="15"/>
  <c r="P138" i="15"/>
  <c r="Q11" i="15"/>
  <c r="S84" i="15"/>
  <c r="S63" i="15"/>
  <c r="Q112" i="15"/>
  <c r="S141" i="15"/>
  <c r="R137" i="15"/>
  <c r="S143" i="15"/>
  <c r="P65" i="1"/>
  <c r="R65" i="1"/>
  <c r="R91" i="1"/>
  <c r="G156" i="1"/>
  <c r="H156" i="1"/>
  <c r="I156" i="1"/>
  <c r="J156" i="1"/>
  <c r="K156" i="1"/>
  <c r="L156" i="1"/>
  <c r="E156" i="1"/>
  <c r="M63" i="1"/>
  <c r="S63" i="1" s="1"/>
  <c r="M31" i="1"/>
  <c r="S31" i="1" s="1"/>
  <c r="M23" i="1"/>
  <c r="S23" i="1" s="1"/>
  <c r="M38" i="1"/>
  <c r="M154" i="1"/>
  <c r="S154" i="1" s="1"/>
  <c r="M146" i="1"/>
  <c r="S146" i="1" s="1"/>
  <c r="M94" i="1"/>
  <c r="S94" i="1" s="1"/>
  <c r="M124" i="1"/>
  <c r="M120" i="1"/>
  <c r="M112" i="1"/>
  <c r="S112" i="1" s="1"/>
  <c r="M105" i="1"/>
  <c r="S105" i="1" s="1"/>
  <c r="M85" i="1"/>
  <c r="M35" i="1"/>
  <c r="M27" i="1"/>
  <c r="M19" i="1"/>
  <c r="S19" i="1" s="1"/>
  <c r="M150" i="1"/>
  <c r="S150" i="1" s="1"/>
  <c r="M142" i="1"/>
  <c r="M138" i="1"/>
  <c r="S138" i="1" s="1"/>
  <c r="M98" i="1"/>
  <c r="S98" i="1" s="1"/>
  <c r="M101" i="1"/>
  <c r="S101" i="1" s="1"/>
  <c r="M89" i="1"/>
  <c r="S89" i="1" s="1"/>
  <c r="M69" i="1"/>
  <c r="M67" i="1"/>
  <c r="M62" i="1"/>
  <c r="M36" i="1"/>
  <c r="M30" i="1"/>
  <c r="M18" i="1"/>
  <c r="M15" i="1"/>
  <c r="M11" i="1"/>
  <c r="S11" i="1" s="1"/>
  <c r="M153" i="1"/>
  <c r="M149" i="1"/>
  <c r="M145" i="1"/>
  <c r="S145" i="1" s="1"/>
  <c r="M141" i="1"/>
  <c r="S141" i="1" s="1"/>
  <c r="M137" i="1"/>
  <c r="S137" i="1" s="1"/>
  <c r="M127" i="1"/>
  <c r="M123" i="1"/>
  <c r="M119" i="1"/>
  <c r="M111" i="1"/>
  <c r="M104" i="1"/>
  <c r="M100" i="1"/>
  <c r="S100" i="1" s="1"/>
  <c r="M88" i="1"/>
  <c r="M84" i="1"/>
  <c r="S84" i="1" s="1"/>
  <c r="M80" i="1"/>
  <c r="S80" i="1" s="1"/>
  <c r="M72" i="1"/>
  <c r="M33" i="1"/>
  <c r="M29" i="1"/>
  <c r="M21" i="1"/>
  <c r="M17" i="1"/>
  <c r="M10" i="1"/>
  <c r="M152" i="1"/>
  <c r="M144" i="1"/>
  <c r="M131" i="1"/>
  <c r="M96" i="1"/>
  <c r="S96" i="1" s="1"/>
  <c r="M92" i="1"/>
  <c r="M126" i="1"/>
  <c r="M122" i="1"/>
  <c r="M118" i="1"/>
  <c r="M114" i="1"/>
  <c r="M68" i="1"/>
  <c r="M133" i="1"/>
  <c r="M37" i="1"/>
  <c r="M64" i="1"/>
  <c r="M129" i="1"/>
  <c r="S129" i="1" s="1"/>
  <c r="M20" i="1"/>
  <c r="M13" i="1"/>
  <c r="M151" i="1"/>
  <c r="S151" i="1" s="1"/>
  <c r="M147" i="1"/>
  <c r="S147" i="1" s="1"/>
  <c r="M143" i="1"/>
  <c r="S143" i="1" s="1"/>
  <c r="M139" i="1"/>
  <c r="S139" i="1" s="1"/>
  <c r="M99" i="1"/>
  <c r="S99" i="1" s="1"/>
  <c r="M95" i="1"/>
  <c r="S95" i="1" s="1"/>
  <c r="M128" i="1"/>
  <c r="M125" i="1"/>
  <c r="M121" i="1"/>
  <c r="M117" i="1"/>
  <c r="M113" i="1"/>
  <c r="M106" i="1"/>
  <c r="S106" i="1" s="1"/>
  <c r="M102" i="1"/>
  <c r="M90" i="1"/>
  <c r="S90" i="1" s="1"/>
  <c r="M86" i="1"/>
  <c r="M82" i="1"/>
  <c r="S82" i="1" s="1"/>
  <c r="M76" i="1"/>
  <c r="S76" i="1" s="1"/>
  <c r="D166" i="3"/>
  <c r="M71" i="15" s="1"/>
  <c r="D165" i="3"/>
  <c r="M70" i="15" s="1"/>
  <c r="T13" i="1"/>
  <c r="T15" i="1"/>
  <c r="T17" i="1"/>
  <c r="T18" i="1"/>
  <c r="T20" i="1"/>
  <c r="T27" i="1"/>
  <c r="T29" i="1"/>
  <c r="T35" i="1"/>
  <c r="T37" i="1"/>
  <c r="T62" i="1"/>
  <c r="T64" i="1"/>
  <c r="T67" i="1"/>
  <c r="T85" i="1"/>
  <c r="T88" i="1"/>
  <c r="T92" i="1"/>
  <c r="T111" i="1"/>
  <c r="T117" i="1"/>
  <c r="T118" i="1"/>
  <c r="T119" i="1"/>
  <c r="T120" i="1"/>
  <c r="T122" i="1"/>
  <c r="T124" i="1"/>
  <c r="T125" i="1"/>
  <c r="T126" i="1"/>
  <c r="T127" i="1"/>
  <c r="T128" i="1"/>
  <c r="T131" i="1"/>
  <c r="T149" i="1"/>
  <c r="T152" i="1"/>
  <c r="R116" i="1" l="1"/>
  <c r="Q14" i="1"/>
  <c r="Q140" i="1"/>
  <c r="R14" i="1"/>
  <c r="Q136" i="1"/>
  <c r="P25" i="1"/>
  <c r="P12" i="1"/>
  <c r="R136" i="1"/>
  <c r="R25" i="1"/>
  <c r="P77" i="15"/>
  <c r="R28" i="1"/>
  <c r="P73" i="1"/>
  <c r="P75" i="1"/>
  <c r="P115" i="1"/>
  <c r="Q97" i="1"/>
  <c r="Q73" i="15"/>
  <c r="Q83" i="1"/>
  <c r="P110" i="1"/>
  <c r="U145" i="15"/>
  <c r="V145" i="15" s="1"/>
  <c r="U154" i="15"/>
  <c r="V154" i="15" s="1"/>
  <c r="Q130" i="1"/>
  <c r="P130" i="1"/>
  <c r="R16" i="1"/>
  <c r="Q16" i="1"/>
  <c r="P60" i="1"/>
  <c r="P22" i="1"/>
  <c r="Q107" i="1"/>
  <c r="R34" i="1"/>
  <c r="Q108" i="1"/>
  <c r="U31" i="15"/>
  <c r="R107" i="1"/>
  <c r="P107" i="1"/>
  <c r="U138" i="15"/>
  <c r="V138" i="15" s="1"/>
  <c r="R26" i="1"/>
  <c r="Q26" i="1"/>
  <c r="P26" i="1"/>
  <c r="Q91" i="1"/>
  <c r="P83" i="1"/>
  <c r="R12" i="1"/>
  <c r="Q116" i="1"/>
  <c r="R81" i="1"/>
  <c r="R73" i="15"/>
  <c r="Q110" i="1"/>
  <c r="R75" i="1"/>
  <c r="R115" i="1"/>
  <c r="P91" i="1"/>
  <c r="Q12" i="1"/>
  <c r="P116" i="1"/>
  <c r="R97" i="1"/>
  <c r="P97" i="1"/>
  <c r="P73" i="15"/>
  <c r="U90" i="15"/>
  <c r="U106" i="15"/>
  <c r="V106" i="15" s="1"/>
  <c r="U139" i="15"/>
  <c r="V139" i="15" s="1"/>
  <c r="U94" i="15"/>
  <c r="U23" i="15"/>
  <c r="V23" i="15" s="1"/>
  <c r="U112" i="15"/>
  <c r="U11" i="15"/>
  <c r="V11" i="15" s="1"/>
  <c r="R110" i="1"/>
  <c r="R83" i="1"/>
  <c r="Q75" i="1"/>
  <c r="Q115" i="1"/>
  <c r="Q81" i="1"/>
  <c r="P81" i="1"/>
  <c r="U95" i="15"/>
  <c r="U143" i="15"/>
  <c r="U80" i="15"/>
  <c r="U84" i="15"/>
  <c r="V84" i="15" s="1"/>
  <c r="R77" i="1"/>
  <c r="Q22" i="1"/>
  <c r="R87" i="1"/>
  <c r="Q87" i="1"/>
  <c r="P87" i="1"/>
  <c r="R132" i="1"/>
  <c r="P108" i="1"/>
  <c r="R109" i="1"/>
  <c r="Q93" i="1"/>
  <c r="P77" i="1"/>
  <c r="P134" i="1"/>
  <c r="R22" i="1"/>
  <c r="R130" i="1"/>
  <c r="Q134" i="1"/>
  <c r="P34" i="1"/>
  <c r="R135" i="1"/>
  <c r="Q135" i="1"/>
  <c r="P135" i="1"/>
  <c r="R60" i="1"/>
  <c r="Q28" i="1"/>
  <c r="Q132" i="1"/>
  <c r="P16" i="1"/>
  <c r="Q65" i="1"/>
  <c r="P132" i="1"/>
  <c r="P109" i="1"/>
  <c r="U147" i="15"/>
  <c r="V147" i="15" s="1"/>
  <c r="R134" i="1"/>
  <c r="Q34" i="1"/>
  <c r="P14" i="1"/>
  <c r="R103" i="1"/>
  <c r="Q103" i="1"/>
  <c r="P103" i="1"/>
  <c r="R108" i="1"/>
  <c r="R140" i="1"/>
  <c r="Q60" i="1"/>
  <c r="P28" i="1"/>
  <c r="R93" i="1"/>
  <c r="Q77" i="1"/>
  <c r="P93" i="1"/>
  <c r="P140" i="1"/>
  <c r="U137" i="15"/>
  <c r="U76" i="15"/>
  <c r="V76" i="15" s="1"/>
  <c r="U99" i="15"/>
  <c r="U151" i="15"/>
  <c r="U129" i="15"/>
  <c r="U105" i="15"/>
  <c r="V105" i="15" s="1"/>
  <c r="U150" i="15"/>
  <c r="V150" i="15" s="1"/>
  <c r="U146" i="15"/>
  <c r="V146" i="15" s="1"/>
  <c r="U96" i="15"/>
  <c r="U89" i="15"/>
  <c r="V89" i="15" s="1"/>
  <c r="U101" i="15"/>
  <c r="U98" i="15"/>
  <c r="U19" i="15"/>
  <c r="V19" i="15" s="1"/>
  <c r="U63" i="15"/>
  <c r="V63" i="15" s="1"/>
  <c r="U82" i="15"/>
  <c r="V82" i="15" s="1"/>
  <c r="U100" i="15"/>
  <c r="U141" i="15"/>
  <c r="R103" i="15"/>
  <c r="S103" i="15"/>
  <c r="Q103" i="15"/>
  <c r="P103" i="15"/>
  <c r="Q93" i="15"/>
  <c r="R93" i="15"/>
  <c r="P93" i="15"/>
  <c r="S93" i="15"/>
  <c r="R22" i="15"/>
  <c r="S22" i="15"/>
  <c r="Q22" i="15"/>
  <c r="P22" i="15"/>
  <c r="S108" i="15"/>
  <c r="Q108" i="15"/>
  <c r="R108" i="15"/>
  <c r="P108" i="15"/>
  <c r="R24" i="1"/>
  <c r="Q24" i="1"/>
  <c r="P24" i="1"/>
  <c r="R61" i="1"/>
  <c r="Q9" i="1"/>
  <c r="Q73" i="1"/>
  <c r="P61" i="1"/>
  <c r="S9" i="1"/>
  <c r="P148" i="1"/>
  <c r="Q77" i="15"/>
  <c r="S73" i="1"/>
  <c r="S135" i="15"/>
  <c r="Q135" i="15"/>
  <c r="P135" i="15"/>
  <c r="R135" i="15"/>
  <c r="P16" i="15"/>
  <c r="Q16" i="15"/>
  <c r="R16" i="15"/>
  <c r="S16" i="15"/>
  <c r="Q28" i="15"/>
  <c r="R28" i="15"/>
  <c r="S28" i="15"/>
  <c r="P28" i="15"/>
  <c r="Q60" i="15"/>
  <c r="P60" i="15"/>
  <c r="R60" i="15"/>
  <c r="S60" i="15"/>
  <c r="Q140" i="15"/>
  <c r="S140" i="15"/>
  <c r="R140" i="15"/>
  <c r="P140" i="15"/>
  <c r="Q14" i="15"/>
  <c r="R14" i="15"/>
  <c r="S14" i="15"/>
  <c r="P14" i="15"/>
  <c r="Q130" i="15"/>
  <c r="S130" i="15"/>
  <c r="P130" i="15"/>
  <c r="R130" i="15"/>
  <c r="S65" i="15"/>
  <c r="R65" i="15"/>
  <c r="Q65" i="15"/>
  <c r="P65" i="15"/>
  <c r="M79" i="1"/>
  <c r="S79" i="1" s="1"/>
  <c r="M79" i="15"/>
  <c r="Q132" i="15"/>
  <c r="R132" i="15"/>
  <c r="S132" i="15"/>
  <c r="P132" i="15"/>
  <c r="R134" i="15"/>
  <c r="Q134" i="15"/>
  <c r="S134" i="15"/>
  <c r="P134" i="15"/>
  <c r="R66" i="1"/>
  <c r="Q66" i="1"/>
  <c r="P66" i="1"/>
  <c r="R148" i="1"/>
  <c r="Q148" i="1"/>
  <c r="Q25" i="1"/>
  <c r="Q109" i="1"/>
  <c r="S77" i="15"/>
  <c r="S83" i="15"/>
  <c r="R83" i="15"/>
  <c r="Q83" i="15"/>
  <c r="P83" i="15"/>
  <c r="R91" i="15"/>
  <c r="Q91" i="15"/>
  <c r="P91" i="15"/>
  <c r="S91" i="15"/>
  <c r="R110" i="15"/>
  <c r="Q110" i="15"/>
  <c r="P110" i="15"/>
  <c r="S110" i="15"/>
  <c r="Q81" i="15"/>
  <c r="R81" i="15"/>
  <c r="S81" i="15"/>
  <c r="P81" i="15"/>
  <c r="S12" i="15"/>
  <c r="P12" i="15"/>
  <c r="R12" i="15"/>
  <c r="Q12" i="15"/>
  <c r="S115" i="15"/>
  <c r="R115" i="15"/>
  <c r="P115" i="15"/>
  <c r="Q115" i="15"/>
  <c r="P97" i="15"/>
  <c r="Q97" i="15"/>
  <c r="S97" i="15"/>
  <c r="R97" i="15"/>
  <c r="Q26" i="15"/>
  <c r="S26" i="15"/>
  <c r="R26" i="15"/>
  <c r="P26" i="15"/>
  <c r="S75" i="15"/>
  <c r="Q75" i="15"/>
  <c r="P75" i="15"/>
  <c r="R75" i="15"/>
  <c r="R116" i="15"/>
  <c r="P116" i="15"/>
  <c r="S116" i="15"/>
  <c r="Q116" i="15"/>
  <c r="R109" i="15"/>
  <c r="Q109" i="15"/>
  <c r="P109" i="15"/>
  <c r="S109" i="15"/>
  <c r="R87" i="15"/>
  <c r="S87" i="15"/>
  <c r="P87" i="15"/>
  <c r="Q87" i="15"/>
  <c r="R107" i="15"/>
  <c r="S107" i="15"/>
  <c r="P107" i="15"/>
  <c r="Q107" i="15"/>
  <c r="Q34" i="15"/>
  <c r="P34" i="15"/>
  <c r="R34" i="15"/>
  <c r="S34" i="15"/>
  <c r="M74" i="1"/>
  <c r="S74" i="1" s="1"/>
  <c r="M74" i="15"/>
  <c r="M78" i="1"/>
  <c r="S78" i="1" s="1"/>
  <c r="M78" i="15"/>
  <c r="R32" i="1"/>
  <c r="Q32" i="1"/>
  <c r="P32" i="1"/>
  <c r="R9" i="1"/>
  <c r="R73" i="1"/>
  <c r="Q61" i="1"/>
  <c r="P136" i="1"/>
  <c r="S9" i="15"/>
  <c r="R9" i="15"/>
  <c r="P9" i="15"/>
  <c r="Q9" i="15"/>
  <c r="R24" i="15"/>
  <c r="P24" i="15"/>
  <c r="Q24" i="15"/>
  <c r="S24" i="15"/>
  <c r="P32" i="15"/>
  <c r="S32" i="15"/>
  <c r="Q32" i="15"/>
  <c r="R32" i="15"/>
  <c r="R66" i="15"/>
  <c r="Q66" i="15"/>
  <c r="S66" i="15"/>
  <c r="P66" i="15"/>
  <c r="Q136" i="15"/>
  <c r="S136" i="15"/>
  <c r="R136" i="15"/>
  <c r="P136" i="15"/>
  <c r="Q148" i="15"/>
  <c r="R148" i="15"/>
  <c r="S148" i="15"/>
  <c r="P148" i="15"/>
  <c r="S25" i="15"/>
  <c r="R25" i="15"/>
  <c r="P25" i="15"/>
  <c r="Q25" i="15"/>
  <c r="Q61" i="15"/>
  <c r="S61" i="15"/>
  <c r="R61" i="15"/>
  <c r="P61" i="15"/>
  <c r="N104" i="15"/>
  <c r="N104" i="1"/>
  <c r="N27" i="15"/>
  <c r="N27" i="1"/>
  <c r="R27" i="1" s="1"/>
  <c r="N37" i="1"/>
  <c r="R37" i="1" s="1"/>
  <c r="N37" i="15"/>
  <c r="N118" i="1"/>
  <c r="R118" i="1" s="1"/>
  <c r="N118" i="15"/>
  <c r="N18" i="1"/>
  <c r="P18" i="1" s="1"/>
  <c r="N18" i="15"/>
  <c r="N67" i="15"/>
  <c r="N67" i="1"/>
  <c r="Q67" i="1" s="1"/>
  <c r="N142" i="1"/>
  <c r="P142" i="1" s="1"/>
  <c r="N142" i="15"/>
  <c r="N120" i="15"/>
  <c r="N120" i="1"/>
  <c r="Q120" i="1" s="1"/>
  <c r="N121" i="1"/>
  <c r="P121" i="1" s="1"/>
  <c r="N121" i="15"/>
  <c r="N131" i="15"/>
  <c r="N131" i="1"/>
  <c r="P131" i="1" s="1"/>
  <c r="N17" i="1"/>
  <c r="N17" i="15"/>
  <c r="N88" i="15"/>
  <c r="N88" i="1"/>
  <c r="N102" i="1"/>
  <c r="Q102" i="1" s="1"/>
  <c r="N102" i="15"/>
  <c r="N64" i="15"/>
  <c r="N64" i="1"/>
  <c r="N133" i="1"/>
  <c r="N133" i="15"/>
  <c r="N114" i="15"/>
  <c r="N114" i="1"/>
  <c r="S114" i="1" s="1"/>
  <c r="N122" i="1"/>
  <c r="R122" i="1" s="1"/>
  <c r="N122" i="15"/>
  <c r="N92" i="15"/>
  <c r="N92" i="1"/>
  <c r="R92" i="1" s="1"/>
  <c r="N111" i="15"/>
  <c r="N111" i="1"/>
  <c r="R111" i="1" s="1"/>
  <c r="N123" i="1"/>
  <c r="N123" i="15"/>
  <c r="N15" i="15"/>
  <c r="N15" i="1"/>
  <c r="R15" i="1" s="1"/>
  <c r="N30" i="1"/>
  <c r="R30" i="1" s="1"/>
  <c r="N30" i="15"/>
  <c r="N62" i="15"/>
  <c r="N62" i="1"/>
  <c r="Q62" i="1" s="1"/>
  <c r="N69" i="1"/>
  <c r="N69" i="15"/>
  <c r="N35" i="15"/>
  <c r="N35" i="1"/>
  <c r="S35" i="1" s="1"/>
  <c r="N124" i="15"/>
  <c r="N124" i="1"/>
  <c r="S124" i="1" s="1"/>
  <c r="N68" i="15"/>
  <c r="N68" i="1"/>
  <c r="N126" i="15"/>
  <c r="N126" i="1"/>
  <c r="Q126" i="1" s="1"/>
  <c r="N119" i="15"/>
  <c r="N119" i="1"/>
  <c r="N127" i="15"/>
  <c r="N127" i="1"/>
  <c r="N36" i="15"/>
  <c r="N36" i="1"/>
  <c r="N85" i="1"/>
  <c r="N85" i="15"/>
  <c r="N113" i="1"/>
  <c r="N113" i="15"/>
  <c r="N128" i="15"/>
  <c r="N128" i="1"/>
  <c r="S128" i="1" s="1"/>
  <c r="N13" i="1"/>
  <c r="R13" i="1" s="1"/>
  <c r="N13" i="15"/>
  <c r="N152" i="15"/>
  <c r="N152" i="1"/>
  <c r="N29" i="1"/>
  <c r="N29" i="15"/>
  <c r="N72" i="15"/>
  <c r="N72" i="1"/>
  <c r="N149" i="1"/>
  <c r="S149" i="1" s="1"/>
  <c r="N149" i="15"/>
  <c r="N86" i="15"/>
  <c r="N86" i="1"/>
  <c r="P86" i="1" s="1"/>
  <c r="N117" i="1"/>
  <c r="P117" i="1" s="1"/>
  <c r="N117" i="15"/>
  <c r="N125" i="1"/>
  <c r="Q125" i="1" s="1"/>
  <c r="N125" i="15"/>
  <c r="N20" i="15"/>
  <c r="N20" i="1"/>
  <c r="P20" i="1" s="1"/>
  <c r="N144" i="15"/>
  <c r="N144" i="1"/>
  <c r="Q144" i="1" s="1"/>
  <c r="N10" i="1"/>
  <c r="Q10" i="1" s="1"/>
  <c r="N10" i="15"/>
  <c r="N21" i="1"/>
  <c r="N21" i="15"/>
  <c r="N33" i="1"/>
  <c r="Q33" i="1" s="1"/>
  <c r="N33" i="15"/>
  <c r="N153" i="15"/>
  <c r="N153" i="1"/>
  <c r="R153" i="1" s="1"/>
  <c r="N38" i="15"/>
  <c r="N38" i="1"/>
  <c r="P38" i="1" s="1"/>
  <c r="R90" i="1"/>
  <c r="R106" i="1"/>
  <c r="R138" i="1"/>
  <c r="R154" i="1"/>
  <c r="Q94" i="1"/>
  <c r="P82" i="1"/>
  <c r="P98" i="1"/>
  <c r="R19" i="1"/>
  <c r="R95" i="1"/>
  <c r="R143" i="1"/>
  <c r="Q31" i="1"/>
  <c r="Q143" i="1"/>
  <c r="P31" i="1"/>
  <c r="P139" i="1"/>
  <c r="Q80" i="1"/>
  <c r="Q96" i="1"/>
  <c r="Q112" i="1"/>
  <c r="R101" i="1"/>
  <c r="Q89" i="1"/>
  <c r="Q105" i="1"/>
  <c r="Q137" i="1"/>
  <c r="P138" i="1"/>
  <c r="P154" i="1"/>
  <c r="P137" i="1"/>
  <c r="P129" i="1"/>
  <c r="P105" i="1"/>
  <c r="R94" i="1"/>
  <c r="Q82" i="1"/>
  <c r="Q98" i="1"/>
  <c r="Q146" i="1"/>
  <c r="R23" i="1"/>
  <c r="R63" i="1"/>
  <c r="R99" i="1"/>
  <c r="R147" i="1"/>
  <c r="Q19" i="1"/>
  <c r="Q95" i="1"/>
  <c r="Q147" i="1"/>
  <c r="P19" i="1"/>
  <c r="P95" i="1"/>
  <c r="P143" i="1"/>
  <c r="R76" i="1"/>
  <c r="Q84" i="1"/>
  <c r="Q100" i="1"/>
  <c r="P76" i="1"/>
  <c r="R89" i="1"/>
  <c r="R105" i="1"/>
  <c r="R137" i="1"/>
  <c r="Q141" i="1"/>
  <c r="P106" i="1"/>
  <c r="P151" i="1"/>
  <c r="P145" i="1"/>
  <c r="P141" i="1"/>
  <c r="R82" i="1"/>
  <c r="R98" i="1"/>
  <c r="R146" i="1"/>
  <c r="Q150" i="1"/>
  <c r="P90" i="1"/>
  <c r="R11" i="1"/>
  <c r="R151" i="1"/>
  <c r="Q23" i="1"/>
  <c r="Q63" i="1"/>
  <c r="Q99" i="1"/>
  <c r="Q151" i="1"/>
  <c r="P23" i="1"/>
  <c r="P63" i="1"/>
  <c r="P99" i="1"/>
  <c r="P147" i="1"/>
  <c r="R80" i="1"/>
  <c r="R96" i="1"/>
  <c r="R112" i="1"/>
  <c r="P80" i="1"/>
  <c r="P96" i="1"/>
  <c r="P112" i="1"/>
  <c r="R141" i="1"/>
  <c r="Q129" i="1"/>
  <c r="Q145" i="1"/>
  <c r="P146" i="1"/>
  <c r="R150" i="1"/>
  <c r="Q90" i="1"/>
  <c r="Q106" i="1"/>
  <c r="Q138" i="1"/>
  <c r="Q154" i="1"/>
  <c r="P94" i="1"/>
  <c r="R31" i="1"/>
  <c r="R139" i="1"/>
  <c r="Q11" i="1"/>
  <c r="Q139" i="1"/>
  <c r="P11" i="1"/>
  <c r="R84" i="1"/>
  <c r="R100" i="1"/>
  <c r="Q76" i="1"/>
  <c r="P84" i="1"/>
  <c r="P100" i="1"/>
  <c r="R129" i="1"/>
  <c r="R145" i="1"/>
  <c r="Q101" i="1"/>
  <c r="P89" i="1"/>
  <c r="P150" i="1"/>
  <c r="P101" i="1"/>
  <c r="T143" i="1"/>
  <c r="T79" i="1"/>
  <c r="T63" i="1"/>
  <c r="T51" i="1"/>
  <c r="U51" i="1"/>
  <c r="T31" i="1"/>
  <c r="T11" i="1"/>
  <c r="T154" i="1"/>
  <c r="T146" i="1"/>
  <c r="T110" i="1"/>
  <c r="T106" i="1"/>
  <c r="T98" i="1"/>
  <c r="T94" i="1"/>
  <c r="T90" i="1"/>
  <c r="T82" i="1"/>
  <c r="T74" i="1"/>
  <c r="T70" i="1"/>
  <c r="T66" i="1"/>
  <c r="T58" i="1"/>
  <c r="U58" i="1"/>
  <c r="T50" i="1"/>
  <c r="T45" i="1"/>
  <c r="U45" i="1"/>
  <c r="T26" i="1"/>
  <c r="T22" i="1"/>
  <c r="T14" i="1"/>
  <c r="T151" i="1"/>
  <c r="T139" i="1"/>
  <c r="T107" i="1"/>
  <c r="T99" i="1"/>
  <c r="T87" i="1"/>
  <c r="T75" i="1"/>
  <c r="T59" i="1"/>
  <c r="U59" i="1"/>
  <c r="T47" i="1"/>
  <c r="T145" i="1"/>
  <c r="T137" i="1"/>
  <c r="T133" i="1"/>
  <c r="T129" i="1"/>
  <c r="T109" i="1"/>
  <c r="T97" i="1"/>
  <c r="T89" i="1"/>
  <c r="T77" i="1"/>
  <c r="T69" i="1"/>
  <c r="T65" i="1"/>
  <c r="T57" i="1"/>
  <c r="U57" i="1"/>
  <c r="T53" i="1"/>
  <c r="U53" i="1"/>
  <c r="T49" i="1"/>
  <c r="U49" i="1"/>
  <c r="T44" i="1"/>
  <c r="U44" i="1"/>
  <c r="T9" i="1"/>
  <c r="T147" i="1"/>
  <c r="T115" i="1"/>
  <c r="T91" i="1"/>
  <c r="T83" i="1"/>
  <c r="T39" i="1"/>
  <c r="U39" i="1"/>
  <c r="T148" i="1"/>
  <c r="T140" i="1"/>
  <c r="T136" i="1"/>
  <c r="T132" i="1"/>
  <c r="T116" i="1"/>
  <c r="T112" i="1"/>
  <c r="T108" i="1"/>
  <c r="T100" i="1"/>
  <c r="T96" i="1"/>
  <c r="T84" i="1"/>
  <c r="T80" i="1"/>
  <c r="T68" i="1"/>
  <c r="T56" i="1"/>
  <c r="U56" i="1"/>
  <c r="T32" i="1"/>
  <c r="T28" i="1"/>
  <c r="T12" i="1"/>
  <c r="D156" i="1"/>
  <c r="F156" i="1"/>
  <c r="M71" i="1"/>
  <c r="M70" i="1"/>
  <c r="T8" i="1"/>
  <c r="T76" i="1"/>
  <c r="T34" i="1"/>
  <c r="T36" i="1"/>
  <c r="T144" i="1"/>
  <c r="T104" i="1"/>
  <c r="T21" i="1"/>
  <c r="T101" i="1"/>
  <c r="T93" i="1"/>
  <c r="T113" i="1"/>
  <c r="T48" i="1"/>
  <c r="T16" i="1"/>
  <c r="T25" i="1"/>
  <c r="T105" i="1"/>
  <c r="T30" i="1"/>
  <c r="T102" i="1"/>
  <c r="T61" i="1"/>
  <c r="T141" i="1"/>
  <c r="T72" i="1"/>
  <c r="T41" i="1"/>
  <c r="T134" i="1"/>
  <c r="T153" i="1"/>
  <c r="T52" i="1"/>
  <c r="T138" i="1"/>
  <c r="T55" i="1"/>
  <c r="T103" i="1"/>
  <c r="T135" i="1"/>
  <c r="U55" i="1"/>
  <c r="U8" i="1"/>
  <c r="U41" i="1"/>
  <c r="T10" i="1"/>
  <c r="T78" i="1"/>
  <c r="T142" i="1"/>
  <c r="T7" i="1"/>
  <c r="T23" i="1"/>
  <c r="T123" i="1"/>
  <c r="T38" i="1"/>
  <c r="T114" i="1"/>
  <c r="T19" i="1"/>
  <c r="T71" i="1"/>
  <c r="U7" i="1"/>
  <c r="U47" i="1"/>
  <c r="U48" i="1"/>
  <c r="U50" i="1"/>
  <c r="T54" i="1"/>
  <c r="T86" i="1"/>
  <c r="T150" i="1"/>
  <c r="T81" i="1"/>
  <c r="T121" i="1"/>
  <c r="T95" i="1"/>
  <c r="T24" i="1"/>
  <c r="T60" i="1"/>
  <c r="T33" i="1"/>
  <c r="T73" i="1"/>
  <c r="T130" i="1"/>
  <c r="U52" i="1"/>
  <c r="U54" i="1"/>
  <c r="R78" i="1" l="1"/>
  <c r="P78" i="1"/>
  <c r="Q78" i="1"/>
  <c r="Q118" i="1"/>
  <c r="V137" i="15"/>
  <c r="P92" i="1"/>
  <c r="Q64" i="1"/>
  <c r="V95" i="15"/>
  <c r="R64" i="1"/>
  <c r="V101" i="15"/>
  <c r="Q17" i="1"/>
  <c r="S17" i="1"/>
  <c r="V151" i="15"/>
  <c r="V100" i="15"/>
  <c r="S152" i="1"/>
  <c r="V143" i="15"/>
  <c r="S30" i="1"/>
  <c r="V99" i="15"/>
  <c r="V98" i="15"/>
  <c r="V94" i="15"/>
  <c r="Q85" i="1"/>
  <c r="U73" i="15"/>
  <c r="V73" i="15" s="1"/>
  <c r="V96" i="15"/>
  <c r="R113" i="1"/>
  <c r="R123" i="1"/>
  <c r="P30" i="1"/>
  <c r="S123" i="1"/>
  <c r="R104" i="1"/>
  <c r="S113" i="1"/>
  <c r="P123" i="1"/>
  <c r="V31" i="15"/>
  <c r="Q113" i="1"/>
  <c r="Q30" i="1"/>
  <c r="Q153" i="1"/>
  <c r="Q123" i="1"/>
  <c r="Q131" i="1"/>
  <c r="R72" i="1"/>
  <c r="Q104" i="1"/>
  <c r="Q18" i="1"/>
  <c r="Q88" i="1"/>
  <c r="P79" i="1"/>
  <c r="P88" i="1"/>
  <c r="R18" i="1"/>
  <c r="P37" i="1"/>
  <c r="P72" i="1"/>
  <c r="Q142" i="1"/>
  <c r="S72" i="1"/>
  <c r="V112" i="15"/>
  <c r="R88" i="1"/>
  <c r="Q36" i="1"/>
  <c r="Q79" i="1"/>
  <c r="R79" i="1"/>
  <c r="S64" i="1"/>
  <c r="U28" i="15"/>
  <c r="P64" i="1"/>
  <c r="R67" i="1"/>
  <c r="V80" i="15"/>
  <c r="V141" i="15"/>
  <c r="Q119" i="1"/>
  <c r="V129" i="15"/>
  <c r="S153" i="1"/>
  <c r="P36" i="1"/>
  <c r="R36" i="1"/>
  <c r="S62" i="1"/>
  <c r="V90" i="15"/>
  <c r="U77" i="15"/>
  <c r="V77" i="15" s="1"/>
  <c r="S118" i="1"/>
  <c r="P74" i="1"/>
  <c r="R126" i="1"/>
  <c r="Q128" i="1"/>
  <c r="Q15" i="1"/>
  <c r="P153" i="1"/>
  <c r="P126" i="1"/>
  <c r="U25" i="15"/>
  <c r="U12" i="15"/>
  <c r="U132" i="15"/>
  <c r="V132" i="15" s="1"/>
  <c r="U22" i="15"/>
  <c r="P33" i="1"/>
  <c r="Q74" i="1"/>
  <c r="S104" i="1"/>
  <c r="S33" i="1"/>
  <c r="P35" i="1"/>
  <c r="S111" i="1"/>
  <c r="P118" i="1"/>
  <c r="P104" i="1"/>
  <c r="P10" i="1"/>
  <c r="R74" i="1"/>
  <c r="U148" i="15"/>
  <c r="Q117" i="1"/>
  <c r="R10" i="1"/>
  <c r="S10" i="1"/>
  <c r="S15" i="1"/>
  <c r="Q127" i="1"/>
  <c r="R127" i="1"/>
  <c r="P62" i="1"/>
  <c r="U66" i="15"/>
  <c r="Q78" i="15"/>
  <c r="R78" i="15"/>
  <c r="S78" i="15"/>
  <c r="P78" i="15"/>
  <c r="P152" i="1"/>
  <c r="P17" i="1"/>
  <c r="Q13" i="1"/>
  <c r="P113" i="1"/>
  <c r="Q72" i="1"/>
  <c r="S144" i="1"/>
  <c r="R17" i="1"/>
  <c r="R20" i="1"/>
  <c r="S13" i="1"/>
  <c r="U136" i="15"/>
  <c r="U109" i="15"/>
  <c r="U110" i="15"/>
  <c r="U91" i="15"/>
  <c r="U83" i="15"/>
  <c r="P79" i="15"/>
  <c r="S79" i="15"/>
  <c r="Q79" i="15"/>
  <c r="R79" i="15"/>
  <c r="U130" i="15"/>
  <c r="U14" i="15"/>
  <c r="U16" i="15"/>
  <c r="U103" i="15"/>
  <c r="Q20" i="1"/>
  <c r="R85" i="1"/>
  <c r="U61" i="15"/>
  <c r="U32" i="15"/>
  <c r="U9" i="15"/>
  <c r="S74" i="15"/>
  <c r="Q74" i="15"/>
  <c r="R74" i="15"/>
  <c r="P74" i="15"/>
  <c r="U34" i="15"/>
  <c r="U116" i="15"/>
  <c r="U75" i="15"/>
  <c r="U26" i="15"/>
  <c r="U97" i="15"/>
  <c r="U115" i="15"/>
  <c r="U140" i="15"/>
  <c r="U60" i="15"/>
  <c r="U93" i="15"/>
  <c r="S20" i="1"/>
  <c r="P149" i="1"/>
  <c r="R102" i="1"/>
  <c r="P13" i="1"/>
  <c r="Q152" i="1"/>
  <c r="P122" i="1"/>
  <c r="S122" i="1"/>
  <c r="R152" i="1"/>
  <c r="U24" i="15"/>
  <c r="U107" i="15"/>
  <c r="U87" i="15"/>
  <c r="U81" i="15"/>
  <c r="U134" i="15"/>
  <c r="U65" i="15"/>
  <c r="U135" i="15"/>
  <c r="U108" i="15"/>
  <c r="V7" i="1"/>
  <c r="S36" i="1"/>
  <c r="P125" i="1"/>
  <c r="S142" i="1"/>
  <c r="S18" i="1"/>
  <c r="R125" i="1"/>
  <c r="R119" i="1"/>
  <c r="S125" i="1"/>
  <c r="R121" i="1"/>
  <c r="P124" i="1"/>
  <c r="Q114" i="1"/>
  <c r="S92" i="1"/>
  <c r="Q121" i="1"/>
  <c r="S131" i="1"/>
  <c r="S121" i="1"/>
  <c r="Q124" i="1"/>
  <c r="P119" i="1"/>
  <c r="S119" i="1"/>
  <c r="R124" i="1"/>
  <c r="R131" i="1"/>
  <c r="R29" i="1"/>
  <c r="S88" i="1"/>
  <c r="S29" i="1"/>
  <c r="Q29" i="1"/>
  <c r="P29" i="1"/>
  <c r="P114" i="1"/>
  <c r="Q92" i="1"/>
  <c r="R114" i="1"/>
  <c r="R142" i="1"/>
  <c r="S126" i="1"/>
  <c r="P144" i="1"/>
  <c r="R62" i="1"/>
  <c r="S86" i="1"/>
  <c r="Q111" i="1"/>
  <c r="P120" i="1"/>
  <c r="R35" i="1"/>
  <c r="R33" i="1"/>
  <c r="S85" i="1"/>
  <c r="Q86" i="1"/>
  <c r="P111" i="1"/>
  <c r="P15" i="1"/>
  <c r="P85" i="1"/>
  <c r="P67" i="1"/>
  <c r="R86" i="1"/>
  <c r="R144" i="1"/>
  <c r="Q35" i="1"/>
  <c r="S20" i="15"/>
  <c r="R20" i="15"/>
  <c r="Q20" i="15"/>
  <c r="P20" i="15"/>
  <c r="R29" i="15"/>
  <c r="P29" i="15"/>
  <c r="Q29" i="15"/>
  <c r="S29" i="15"/>
  <c r="R35" i="15"/>
  <c r="P35" i="15"/>
  <c r="Q35" i="15"/>
  <c r="S35" i="15"/>
  <c r="Q21" i="1"/>
  <c r="N71" i="1"/>
  <c r="N71" i="15"/>
  <c r="Q133" i="1"/>
  <c r="S120" i="1"/>
  <c r="S27" i="1"/>
  <c r="S67" i="1"/>
  <c r="S37" i="1"/>
  <c r="P128" i="1"/>
  <c r="R128" i="1"/>
  <c r="S38" i="1"/>
  <c r="S117" i="1"/>
  <c r="S102" i="1"/>
  <c r="Q37" i="1"/>
  <c r="R117" i="1"/>
  <c r="Q38" i="1"/>
  <c r="R21" i="15"/>
  <c r="Q21" i="15"/>
  <c r="P21" i="15"/>
  <c r="S21" i="15"/>
  <c r="R117" i="15"/>
  <c r="P117" i="15"/>
  <c r="Q117" i="15"/>
  <c r="S117" i="15"/>
  <c r="R86" i="15"/>
  <c r="S86" i="15"/>
  <c r="P86" i="15"/>
  <c r="Q86" i="15"/>
  <c r="R149" i="15"/>
  <c r="P149" i="15"/>
  <c r="S149" i="15"/>
  <c r="Q149" i="15"/>
  <c r="R72" i="15"/>
  <c r="S72" i="15"/>
  <c r="P72" i="15"/>
  <c r="Q72" i="15"/>
  <c r="Q152" i="15"/>
  <c r="R152" i="15"/>
  <c r="P152" i="15"/>
  <c r="S152" i="15"/>
  <c r="R36" i="15"/>
  <c r="P36" i="15"/>
  <c r="Q36" i="15"/>
  <c r="S36" i="15"/>
  <c r="P119" i="15"/>
  <c r="R119" i="15"/>
  <c r="S119" i="15"/>
  <c r="Q119" i="15"/>
  <c r="R126" i="15"/>
  <c r="Q126" i="15"/>
  <c r="P126" i="15"/>
  <c r="S126" i="15"/>
  <c r="R122" i="15"/>
  <c r="S122" i="15"/>
  <c r="Q122" i="15"/>
  <c r="P122" i="15"/>
  <c r="R133" i="15"/>
  <c r="P133" i="15"/>
  <c r="Q133" i="15"/>
  <c r="S133" i="15"/>
  <c r="R102" i="15"/>
  <c r="S102" i="15"/>
  <c r="P102" i="15"/>
  <c r="Q102" i="15"/>
  <c r="Q37" i="15"/>
  <c r="P37" i="15"/>
  <c r="R37" i="15"/>
  <c r="S37" i="15"/>
  <c r="R38" i="1"/>
  <c r="Q68" i="1"/>
  <c r="P68" i="1"/>
  <c r="R68" i="1"/>
  <c r="S68" i="1"/>
  <c r="R15" i="15"/>
  <c r="P15" i="15"/>
  <c r="S15" i="15"/>
  <c r="Q15" i="15"/>
  <c r="R131" i="15"/>
  <c r="Q131" i="15"/>
  <c r="S131" i="15"/>
  <c r="P131" i="15"/>
  <c r="N70" i="1"/>
  <c r="N70" i="15"/>
  <c r="P27" i="1"/>
  <c r="Q122" i="1"/>
  <c r="S127" i="1"/>
  <c r="S21" i="1"/>
  <c r="P21" i="1"/>
  <c r="R149" i="1"/>
  <c r="R120" i="1"/>
  <c r="R38" i="15"/>
  <c r="Q38" i="15"/>
  <c r="P38" i="15"/>
  <c r="S38" i="15"/>
  <c r="R33" i="15"/>
  <c r="Q33" i="15"/>
  <c r="P33" i="15"/>
  <c r="S33" i="15"/>
  <c r="P10" i="15"/>
  <c r="R10" i="15"/>
  <c r="Q10" i="15"/>
  <c r="S10" i="15"/>
  <c r="Q125" i="15"/>
  <c r="P125" i="15"/>
  <c r="R125" i="15"/>
  <c r="S125" i="15"/>
  <c r="P102" i="1"/>
  <c r="P128" i="15"/>
  <c r="Q128" i="15"/>
  <c r="R128" i="15"/>
  <c r="S128" i="15"/>
  <c r="R127" i="15"/>
  <c r="P127" i="15"/>
  <c r="Q127" i="15"/>
  <c r="S127" i="15"/>
  <c r="Q68" i="15"/>
  <c r="R68" i="15"/>
  <c r="S68" i="15"/>
  <c r="P68" i="15"/>
  <c r="R69" i="15"/>
  <c r="P69" i="15"/>
  <c r="S69" i="15"/>
  <c r="Q69" i="15"/>
  <c r="R30" i="15"/>
  <c r="S30" i="15"/>
  <c r="P30" i="15"/>
  <c r="Q30" i="15"/>
  <c r="R123" i="15"/>
  <c r="P123" i="15"/>
  <c r="S123" i="15"/>
  <c r="Q123" i="15"/>
  <c r="P127" i="1"/>
  <c r="R17" i="15"/>
  <c r="P17" i="15"/>
  <c r="Q17" i="15"/>
  <c r="S17" i="15"/>
  <c r="R120" i="15"/>
  <c r="P120" i="15"/>
  <c r="Q120" i="15"/>
  <c r="S120" i="15"/>
  <c r="P67" i="15"/>
  <c r="R67" i="15"/>
  <c r="S67" i="15"/>
  <c r="Q67" i="15"/>
  <c r="R118" i="15"/>
  <c r="S118" i="15"/>
  <c r="P118" i="15"/>
  <c r="Q118" i="15"/>
  <c r="R27" i="15"/>
  <c r="S27" i="15"/>
  <c r="Q27" i="15"/>
  <c r="P27" i="15"/>
  <c r="P144" i="15"/>
  <c r="Q144" i="15"/>
  <c r="R144" i="15"/>
  <c r="S144" i="15"/>
  <c r="R85" i="15"/>
  <c r="P85" i="15"/>
  <c r="Q85" i="15"/>
  <c r="S85" i="15"/>
  <c r="P62" i="15"/>
  <c r="R62" i="15"/>
  <c r="Q62" i="15"/>
  <c r="S62" i="15"/>
  <c r="R111" i="15"/>
  <c r="Q111" i="15"/>
  <c r="P111" i="15"/>
  <c r="S111" i="15"/>
  <c r="R88" i="15"/>
  <c r="P88" i="15"/>
  <c r="S88" i="15"/>
  <c r="Q88" i="15"/>
  <c r="R104" i="15"/>
  <c r="P104" i="15"/>
  <c r="Q104" i="15"/>
  <c r="S104" i="15"/>
  <c r="Q149" i="1"/>
  <c r="Q27" i="1"/>
  <c r="P133" i="1"/>
  <c r="R21" i="1"/>
  <c r="R133" i="1"/>
  <c r="P153" i="15"/>
  <c r="R153" i="15"/>
  <c r="Q153" i="15"/>
  <c r="S153" i="15"/>
  <c r="S133" i="1"/>
  <c r="R13" i="15"/>
  <c r="P13" i="15"/>
  <c r="Q13" i="15"/>
  <c r="S13" i="15"/>
  <c r="R113" i="15"/>
  <c r="P113" i="15"/>
  <c r="Q113" i="15"/>
  <c r="S113" i="15"/>
  <c r="R124" i="15"/>
  <c r="Q124" i="15"/>
  <c r="S124" i="15"/>
  <c r="P124" i="15"/>
  <c r="P69" i="1"/>
  <c r="R69" i="1"/>
  <c r="S69" i="1"/>
  <c r="Q69" i="1"/>
  <c r="R92" i="15"/>
  <c r="Q92" i="15"/>
  <c r="P92" i="15"/>
  <c r="S92" i="15"/>
  <c r="R114" i="15"/>
  <c r="P114" i="15"/>
  <c r="Q114" i="15"/>
  <c r="S114" i="15"/>
  <c r="P64" i="15"/>
  <c r="Q64" i="15"/>
  <c r="R64" i="15"/>
  <c r="S64" i="15"/>
  <c r="R121" i="15"/>
  <c r="Q121" i="15"/>
  <c r="P121" i="15"/>
  <c r="S121" i="15"/>
  <c r="R142" i="15"/>
  <c r="Q142" i="15"/>
  <c r="P142" i="15"/>
  <c r="S142" i="15"/>
  <c r="R18" i="15"/>
  <c r="S18" i="15"/>
  <c r="Q18" i="15"/>
  <c r="P18" i="15"/>
  <c r="M156" i="1"/>
  <c r="T156" i="1"/>
  <c r="U150" i="1"/>
  <c r="V150" i="1" s="1"/>
  <c r="U137" i="1"/>
  <c r="V137" i="1" s="1"/>
  <c r="U23" i="1"/>
  <c r="U105" i="1"/>
  <c r="V105" i="1" s="1"/>
  <c r="U19" i="1"/>
  <c r="V19" i="1" s="1"/>
  <c r="U116" i="1"/>
  <c r="V116" i="1" s="1"/>
  <c r="U141" i="1"/>
  <c r="U143" i="1"/>
  <c r="V143" i="1" s="1"/>
  <c r="U76" i="1"/>
  <c r="U135" i="1"/>
  <c r="V135" i="1" s="1"/>
  <c r="U112" i="1"/>
  <c r="V112" i="1" s="1"/>
  <c r="U138" i="1"/>
  <c r="U101" i="1"/>
  <c r="U11" i="1"/>
  <c r="U147" i="1"/>
  <c r="V147" i="1" s="1"/>
  <c r="U95" i="1"/>
  <c r="V95" i="1" s="1"/>
  <c r="U82" i="1"/>
  <c r="V82" i="1" s="1"/>
  <c r="V51" i="1"/>
  <c r="V48" i="1"/>
  <c r="V39" i="1"/>
  <c r="V57" i="1"/>
  <c r="V54" i="1"/>
  <c r="V55" i="1"/>
  <c r="V45" i="1"/>
  <c r="V52" i="1"/>
  <c r="V58" i="1"/>
  <c r="V47" i="1"/>
  <c r="V41" i="1"/>
  <c r="V53" i="1"/>
  <c r="V56" i="1"/>
  <c r="V49" i="1"/>
  <c r="V44" i="1"/>
  <c r="V50" i="1"/>
  <c r="V8" i="1"/>
  <c r="V59" i="1"/>
  <c r="U103" i="1"/>
  <c r="U134" i="1"/>
  <c r="U129" i="1"/>
  <c r="U81" i="1"/>
  <c r="U145" i="1"/>
  <c r="U73" i="1"/>
  <c r="U80" i="1"/>
  <c r="U63" i="1"/>
  <c r="U31" i="1"/>
  <c r="U151" i="1"/>
  <c r="U66" i="1"/>
  <c r="U87" i="1"/>
  <c r="U99" i="1"/>
  <c r="U12" i="1"/>
  <c r="U132" i="1"/>
  <c r="U96" i="1"/>
  <c r="U109" i="1"/>
  <c r="U90" i="1"/>
  <c r="U84" i="1"/>
  <c r="U22" i="1"/>
  <c r="U115" i="1"/>
  <c r="U98" i="1"/>
  <c r="U94" i="1"/>
  <c r="U75" i="1"/>
  <c r="U93" i="1"/>
  <c r="U61" i="1"/>
  <c r="U16" i="1"/>
  <c r="U14" i="1"/>
  <c r="U91" i="1"/>
  <c r="U107" i="1"/>
  <c r="U136" i="1"/>
  <c r="U130" i="1"/>
  <c r="U26" i="1"/>
  <c r="U154" i="1"/>
  <c r="U148" i="1"/>
  <c r="U97" i="1"/>
  <c r="U25" i="1"/>
  <c r="U83" i="1"/>
  <c r="U139" i="1"/>
  <c r="U24" i="1"/>
  <c r="U60" i="1"/>
  <c r="U140" i="1"/>
  <c r="U34" i="1"/>
  <c r="U77" i="1"/>
  <c r="U32" i="1"/>
  <c r="U9" i="1"/>
  <c r="U100" i="1"/>
  <c r="U110" i="1"/>
  <c r="U108" i="1"/>
  <c r="U65" i="1"/>
  <c r="U28" i="1"/>
  <c r="U106" i="1"/>
  <c r="U146" i="1"/>
  <c r="U89" i="1"/>
  <c r="U92" i="1" l="1"/>
  <c r="V92" i="1" s="1"/>
  <c r="U15" i="1"/>
  <c r="V15" i="1" s="1"/>
  <c r="U64" i="1"/>
  <c r="V64" i="1" s="1"/>
  <c r="U30" i="1"/>
  <c r="U17" i="1"/>
  <c r="V17" i="1" s="1"/>
  <c r="U113" i="1"/>
  <c r="V113" i="1" s="1"/>
  <c r="U18" i="1"/>
  <c r="U123" i="1"/>
  <c r="V22" i="15"/>
  <c r="U88" i="1"/>
  <c r="V28" i="15"/>
  <c r="U10" i="1"/>
  <c r="U118" i="1"/>
  <c r="V118" i="1" s="1"/>
  <c r="U153" i="1"/>
  <c r="U36" i="1"/>
  <c r="V36" i="1" s="1"/>
  <c r="V25" i="15"/>
  <c r="U33" i="1"/>
  <c r="V33" i="1" s="1"/>
  <c r="U111" i="1"/>
  <c r="V111" i="1" s="1"/>
  <c r="U72" i="1"/>
  <c r="U152" i="1"/>
  <c r="U144" i="1"/>
  <c r="V144" i="1" s="1"/>
  <c r="U85" i="1"/>
  <c r="U20" i="1"/>
  <c r="U104" i="1"/>
  <c r="U149" i="1"/>
  <c r="V149" i="1" s="1"/>
  <c r="U62" i="1"/>
  <c r="V12" i="15"/>
  <c r="V148" i="15"/>
  <c r="U67" i="1"/>
  <c r="U122" i="1"/>
  <c r="U13" i="1"/>
  <c r="V66" i="15"/>
  <c r="U102" i="1"/>
  <c r="U128" i="1"/>
  <c r="U86" i="1"/>
  <c r="U126" i="1"/>
  <c r="V134" i="15"/>
  <c r="V60" i="15"/>
  <c r="V16" i="15"/>
  <c r="V136" i="15"/>
  <c r="U68" i="1"/>
  <c r="V68" i="1" s="1"/>
  <c r="U35" i="1"/>
  <c r="V35" i="1" s="1"/>
  <c r="U29" i="1"/>
  <c r="U119" i="1"/>
  <c r="V108" i="15"/>
  <c r="V81" i="15"/>
  <c r="V140" i="15"/>
  <c r="V75" i="15"/>
  <c r="U74" i="15"/>
  <c r="V9" i="15"/>
  <c r="V14" i="15"/>
  <c r="V91" i="15"/>
  <c r="V24" i="15"/>
  <c r="V26" i="15"/>
  <c r="V83" i="15"/>
  <c r="U125" i="1"/>
  <c r="V135" i="15"/>
  <c r="V87" i="15"/>
  <c r="V115" i="15"/>
  <c r="V116" i="15"/>
  <c r="V32" i="15"/>
  <c r="V130" i="15"/>
  <c r="U79" i="15"/>
  <c r="V110" i="15"/>
  <c r="U124" i="1"/>
  <c r="U121" i="1"/>
  <c r="V65" i="15"/>
  <c r="V107" i="15"/>
  <c r="V93" i="15"/>
  <c r="V97" i="15"/>
  <c r="V34" i="15"/>
  <c r="V61" i="15"/>
  <c r="V103" i="15"/>
  <c r="V109" i="15"/>
  <c r="U78" i="15"/>
  <c r="U114" i="1"/>
  <c r="V114" i="1" s="1"/>
  <c r="U131" i="1"/>
  <c r="V131" i="1" s="1"/>
  <c r="U142" i="1"/>
  <c r="V142" i="1" s="1"/>
  <c r="U69" i="1"/>
  <c r="U21" i="1"/>
  <c r="U27" i="1"/>
  <c r="U37" i="1"/>
  <c r="V37" i="1" s="1"/>
  <c r="U120" i="1"/>
  <c r="V120" i="1" s="1"/>
  <c r="U133" i="1"/>
  <c r="V133" i="1" s="1"/>
  <c r="U131" i="15"/>
  <c r="V131" i="15" s="1"/>
  <c r="U117" i="1"/>
  <c r="V117" i="1" s="1"/>
  <c r="U38" i="1"/>
  <c r="U104" i="15"/>
  <c r="U62" i="15"/>
  <c r="U85" i="15"/>
  <c r="V85" i="15" s="1"/>
  <c r="U118" i="15"/>
  <c r="V118" i="15" s="1"/>
  <c r="U17" i="15"/>
  <c r="U68" i="15"/>
  <c r="U127" i="1"/>
  <c r="U102" i="15"/>
  <c r="U122" i="15"/>
  <c r="U149" i="15"/>
  <c r="U86" i="15"/>
  <c r="R70" i="1"/>
  <c r="Q70" i="1"/>
  <c r="P70" i="1"/>
  <c r="S70" i="1"/>
  <c r="U18" i="15"/>
  <c r="U144" i="15"/>
  <c r="U67" i="15"/>
  <c r="U120" i="15"/>
  <c r="U127" i="15"/>
  <c r="U10" i="15"/>
  <c r="U38" i="15"/>
  <c r="R70" i="15"/>
  <c r="P70" i="15"/>
  <c r="Q70" i="15"/>
  <c r="S70" i="15"/>
  <c r="Q71" i="15"/>
  <c r="R71" i="15"/>
  <c r="S71" i="15"/>
  <c r="P71" i="15"/>
  <c r="U142" i="15"/>
  <c r="U64" i="15"/>
  <c r="U114" i="15"/>
  <c r="U92" i="15"/>
  <c r="U69" i="15"/>
  <c r="U128" i="15"/>
  <c r="U125" i="15"/>
  <c r="U15" i="15"/>
  <c r="U37" i="15"/>
  <c r="U133" i="15"/>
  <c r="U119" i="15"/>
  <c r="U36" i="15"/>
  <c r="U152" i="15"/>
  <c r="S71" i="1"/>
  <c r="Q71" i="1"/>
  <c r="R71" i="1"/>
  <c r="P71" i="1"/>
  <c r="U35" i="15"/>
  <c r="U20" i="15"/>
  <c r="U121" i="15"/>
  <c r="U124" i="15"/>
  <c r="U113" i="15"/>
  <c r="U13" i="15"/>
  <c r="N156" i="1"/>
  <c r="U153" i="15"/>
  <c r="U88" i="15"/>
  <c r="U111" i="15"/>
  <c r="U27" i="15"/>
  <c r="U123" i="15"/>
  <c r="U30" i="15"/>
  <c r="U33" i="15"/>
  <c r="U126" i="15"/>
  <c r="U72" i="15"/>
  <c r="U117" i="15"/>
  <c r="U21" i="15"/>
  <c r="U29" i="15"/>
  <c r="V141" i="1"/>
  <c r="V76" i="1"/>
  <c r="V11" i="1"/>
  <c r="V23" i="1"/>
  <c r="V153" i="1"/>
  <c r="V101" i="1"/>
  <c r="V138" i="1"/>
  <c r="V89" i="1"/>
  <c r="V83" i="1"/>
  <c r="V91" i="1"/>
  <c r="V98" i="1"/>
  <c r="V132" i="1"/>
  <c r="V151" i="1"/>
  <c r="V129" i="1"/>
  <c r="V146" i="1"/>
  <c r="V9" i="1"/>
  <c r="V34" i="1"/>
  <c r="V60" i="1"/>
  <c r="V154" i="1"/>
  <c r="V136" i="1"/>
  <c r="V14" i="1"/>
  <c r="V75" i="1"/>
  <c r="V115" i="1"/>
  <c r="V90" i="1"/>
  <c r="V12" i="1"/>
  <c r="V87" i="1"/>
  <c r="V31" i="1"/>
  <c r="V80" i="1"/>
  <c r="V134" i="1"/>
  <c r="V28" i="1"/>
  <c r="V148" i="1"/>
  <c r="V130" i="1"/>
  <c r="V93" i="1"/>
  <c r="V99" i="1"/>
  <c r="V145" i="1"/>
  <c r="V65" i="1"/>
  <c r="V100" i="1"/>
  <c r="V32" i="1"/>
  <c r="V140" i="1"/>
  <c r="V24" i="1"/>
  <c r="V25" i="1"/>
  <c r="V26" i="1"/>
  <c r="V107" i="1"/>
  <c r="V16" i="1"/>
  <c r="V94" i="1"/>
  <c r="V22" i="1"/>
  <c r="V109" i="1"/>
  <c r="V63" i="1"/>
  <c r="V103" i="1"/>
  <c r="V110" i="1"/>
  <c r="V106" i="1"/>
  <c r="V108" i="1"/>
  <c r="V77" i="1"/>
  <c r="V139" i="1"/>
  <c r="V97" i="1"/>
  <c r="V61" i="1"/>
  <c r="V84" i="1"/>
  <c r="V96" i="1"/>
  <c r="V66" i="1"/>
  <c r="V73" i="1"/>
  <c r="V81" i="1"/>
  <c r="U79" i="1"/>
  <c r="U74" i="1"/>
  <c r="U78" i="1"/>
  <c r="V62" i="15" l="1"/>
  <c r="V88" i="1"/>
  <c r="V62" i="1"/>
  <c r="V30" i="1"/>
  <c r="V123" i="1"/>
  <c r="V152" i="1"/>
  <c r="V124" i="1"/>
  <c r="V102" i="1"/>
  <c r="V18" i="1"/>
  <c r="V10" i="1"/>
  <c r="V20" i="1"/>
  <c r="V128" i="1"/>
  <c r="V85" i="1"/>
  <c r="V72" i="1"/>
  <c r="V125" i="1"/>
  <c r="V13" i="1"/>
  <c r="V29" i="1"/>
  <c r="V67" i="1"/>
  <c r="V86" i="1"/>
  <c r="V121" i="1"/>
  <c r="V122" i="1"/>
  <c r="V104" i="1"/>
  <c r="V126" i="1"/>
  <c r="V78" i="15"/>
  <c r="V79" i="15"/>
  <c r="V119" i="1"/>
  <c r="V74" i="15"/>
  <c r="V102" i="15"/>
  <c r="V27" i="1"/>
  <c r="V69" i="1"/>
  <c r="V38" i="1"/>
  <c r="V21" i="1"/>
  <c r="V17" i="15"/>
  <c r="V104" i="15"/>
  <c r="V149" i="15"/>
  <c r="V68" i="15"/>
  <c r="V122" i="15"/>
  <c r="U70" i="1"/>
  <c r="V86" i="15"/>
  <c r="U71" i="1"/>
  <c r="V127" i="1"/>
  <c r="V13" i="15"/>
  <c r="V125" i="15"/>
  <c r="V92" i="15"/>
  <c r="V29" i="15"/>
  <c r="V126" i="15"/>
  <c r="V27" i="15"/>
  <c r="V121" i="15"/>
  <c r="V35" i="15"/>
  <c r="V133" i="15"/>
  <c r="X156" i="1"/>
  <c r="V142" i="15"/>
  <c r="V120" i="15"/>
  <c r="S156" i="1"/>
  <c r="V33" i="15"/>
  <c r="V37" i="15"/>
  <c r="V67" i="15"/>
  <c r="P156" i="1"/>
  <c r="V117" i="15"/>
  <c r="V30" i="15"/>
  <c r="V88" i="15"/>
  <c r="V113" i="15"/>
  <c r="V36" i="15"/>
  <c r="V15" i="15"/>
  <c r="V128" i="15"/>
  <c r="V114" i="15"/>
  <c r="U71" i="15"/>
  <c r="V10" i="15"/>
  <c r="V144" i="15"/>
  <c r="Q156" i="1"/>
  <c r="V21" i="15"/>
  <c r="V111" i="15"/>
  <c r="V152" i="15"/>
  <c r="V38" i="15"/>
  <c r="V72" i="15"/>
  <c r="V123" i="15"/>
  <c r="V153" i="15"/>
  <c r="V124" i="15"/>
  <c r="V20" i="15"/>
  <c r="V119" i="15"/>
  <c r="V69" i="15"/>
  <c r="V64" i="15"/>
  <c r="U70" i="15"/>
  <c r="V127" i="15"/>
  <c r="V18" i="15"/>
  <c r="R156" i="1"/>
  <c r="V78" i="1"/>
  <c r="V74" i="1"/>
  <c r="V79" i="1"/>
  <c r="E11" i="16" l="1"/>
  <c r="F11" i="16" s="1"/>
  <c r="C11" i="16"/>
  <c r="D11" i="16" s="1"/>
  <c r="D14" i="16" s="1"/>
  <c r="V70" i="1"/>
  <c r="U156" i="1"/>
  <c r="V71" i="1"/>
  <c r="V71" i="15"/>
  <c r="V70" i="15"/>
  <c r="W156" i="1"/>
  <c r="H108" i="3"/>
  <c r="F14" i="16" l="1"/>
  <c r="H6" i="4" s="1"/>
  <c r="E7" i="4"/>
  <c r="V156" i="1"/>
  <c r="H5" i="4"/>
  <c r="E5" i="4"/>
  <c r="E6" i="4"/>
  <c r="H7" i="4" l="1"/>
  <c r="I6" i="4"/>
  <c r="I5" i="4"/>
  <c r="I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tc={89B4B1B3-D509-4B3D-AC66-767120E4FD85}</author>
    <author>tc={4113109E-43E2-4DFF-BBE7-D84E2E42973F}</author>
    <author>tc={183AA958-34B7-4037-AA11-2D887AFDE5CD}</author>
    <author>tc={45CA24EC-4479-4673-84FE-024A0327927C}</author>
    <author>tc={418A596F-311C-49D9-A6F4-BF3AFDB78C43}</author>
    <author>tc={F038ECF7-D747-4E8E-B2BE-46E2ADE6BAC4}</author>
    <author>tc={6AD5C366-D8DD-40B3-ABB5-A94DAF211999}</author>
    <author>tc={739FDF6A-3FA1-4BFA-BEC6-D490AA947AE2}</author>
  </authors>
  <commentList>
    <comment ref="N18" authorId="0" shapeId="0" xr:uid="{89B4B1B3-D509-4B3D-AC66-767120E4FD85}">
      <text>
        <t>[Opmerkingenthread]
U kunt deze opmerkingenthread lezen in uw versie van Excel. Eventuele wijzigingen aan de thread gaan echter verloren als het bestand wordt geopend in een nieuwere versie van Excel. Meer informatie: https://go.microsoft.com/fwlink/?linkid=870924
Opmerking:
    Tijdsbesteding P042 is onafgerond 6,45 uur; daarom 6 punten.</t>
      </text>
    </comment>
    <comment ref="N111" authorId="1" shapeId="0" xr:uid="{4113109E-43E2-4DFF-BBE7-D84E2E42973F}">
      <text>
        <t>[Opmerkingenthread]
U kunt deze opmerkingenthread lezen in uw versie van Excel. Eventuele wijzigingen aan de thread gaan echter verloren als het bestand wordt geopend in een nieuwere versie van Excel. Meer informatie: https://go.microsoft.com/fwlink/?linkid=870924
Opmerking:
    A010 en A020 worden samengevoegd tot 1 code met 24 punten. Hier daarom voor beide codes 24 punten opgenomen.</t>
      </text>
    </comment>
    <comment ref="N114" authorId="2" shapeId="0" xr:uid="{183AA958-34B7-4037-AA11-2D887AFDE5CD}">
      <text>
        <t>[Opmerkingenthread]
U kunt deze opmerkingenthread lezen in uw versie van Excel. Eventuele wijzigingen aan de thread gaan echter verloren als het bestand wordt geopend in een nieuwere versie van Excel. Meer informatie: https://go.microsoft.com/fwlink/?linkid=870924
Opmerking:
    A010 en A020 worden samengevoegd tot 1 code met 24 punten. Hier daarom voor beide codes 24 punten opgenomen.</t>
      </text>
    </comment>
    <comment ref="N125" authorId="3" shapeId="0" xr:uid="{45CA24EC-4479-4673-84FE-024A0327927C}">
      <text>
        <t>[Opmerkingenthread]
U kunt deze opmerkingenthread lezen in uw versie van Excel. Eventuele wijzigingen aan de thread gaan echter verloren als het bestand wordt geopend in een nieuwere versie van Excel. Meer informatie: https://go.microsoft.com/fwlink/?linkid=870924
Opmerking:
    Tijdsbesteding is onafgerond 8,46 uur, dus daarom 8 punten.</t>
      </text>
    </comment>
    <comment ref="N129" authorId="4" shapeId="0" xr:uid="{418A596F-311C-49D9-A6F4-BF3AFDB78C43}">
      <text>
        <t>[Opmerkingenthread]
U kunt deze opmerkingenthread lezen in uw versie van Excel. Eventuele wijzigingen aan de thread gaan echter verloren als het bestand wordt geopend in een nieuwere versie van Excel. Meer informatie: https://go.microsoft.com/fwlink/?linkid=870924
Opmerking:
    Tijdsbesteding is onafgerond 11,46 uur, dus daarom 11 punten.</t>
      </text>
    </comment>
    <comment ref="N144" authorId="5" shapeId="0" xr:uid="{F038ECF7-D747-4E8E-B2BE-46E2ADE6BAC4}">
      <text>
        <t>[Opmerkingenthread]
U kunt deze opmerkingenthread lezen in uw versie van Excel. Eventuele wijzigingen aan de thread gaan echter verloren als het bestand wordt geopend in een nieuwere versie van Excel. Meer informatie: https://go.microsoft.com/fwlink/?linkid=870924
Opmerking:
    H030 en H040 worden samengevoegd met als advies een forfait van 18 punten.</t>
      </text>
    </comment>
    <comment ref="N145" authorId="6" shapeId="0" xr:uid="{6AD5C366-D8DD-40B3-ABB5-A94DAF211999}">
      <text>
        <t>[Opmerkingenthread]
U kunt deze opmerkingenthread lezen in uw versie van Excel. Eventuele wijzigingen aan de thread gaan echter verloren als het bestand wordt geopend in een nieuwere versie van Excel. Meer informatie: https://go.microsoft.com/fwlink/?linkid=870924
Opmerking:
    H030 en H040 worden samengevoegd met als advies een forfait van 18 punten.</t>
      </text>
    </comment>
    <comment ref="N157" authorId="7" shapeId="0" xr:uid="{739FDF6A-3FA1-4BFA-BEC6-D490AA947AE2}">
      <text>
        <t>[Opmerkingenthread]
U kunt deze opmerkingenthread lezen in uw versie van Excel. Eventuele wijzigingen aan de thread gaan echter verloren als het bestand wordt geopend in een nieuwere versie van Excel. Meer informatie: https://go.microsoft.com/fwlink/?linkid=870924
Opmerking:
    Tijdsbesteding O013 is onafgerond 14,45 uur, dus daarom 14 punten.</t>
      </text>
    </comment>
  </commentList>
</comments>
</file>

<file path=xl/sharedStrings.xml><?xml version="1.0" encoding="utf-8"?>
<sst xmlns="http://schemas.openxmlformats.org/spreadsheetml/2006/main" count="8313" uniqueCount="720">
  <si>
    <t>Zaakcode</t>
  </si>
  <si>
    <t>soort zaak</t>
  </si>
  <si>
    <t>forfait voor 2022</t>
  </si>
  <si>
    <t>forfait vanaf 2022</t>
  </si>
  <si>
    <t>[lg]</t>
  </si>
  <si>
    <t>prc</t>
  </si>
  <si>
    <t>[nb]</t>
  </si>
  <si>
    <t>A010</t>
  </si>
  <si>
    <t>A011</t>
  </si>
  <si>
    <t>A012</t>
  </si>
  <si>
    <t>A020</t>
  </si>
  <si>
    <t>A030</t>
  </si>
  <si>
    <t>A031</t>
  </si>
  <si>
    <t>A032</t>
  </si>
  <si>
    <t>B010</t>
  </si>
  <si>
    <t>B011</t>
  </si>
  <si>
    <t>B060</t>
  </si>
  <si>
    <t>C010</t>
  </si>
  <si>
    <t>C012</t>
  </si>
  <si>
    <t>C020</t>
  </si>
  <si>
    <t>C030</t>
  </si>
  <si>
    <t>C031</t>
  </si>
  <si>
    <t>D010</t>
  </si>
  <si>
    <t>D020</t>
  </si>
  <si>
    <t>D070</t>
  </si>
  <si>
    <t>D071</t>
  </si>
  <si>
    <t>E010</t>
  </si>
  <si>
    <t>F010</t>
  </si>
  <si>
    <t>G010</t>
  </si>
  <si>
    <t>H010</t>
  </si>
  <si>
    <t>H020</t>
  </si>
  <si>
    <t>H030</t>
  </si>
  <si>
    <t>H040</t>
  </si>
  <si>
    <t>H050</t>
  </si>
  <si>
    <t>I010</t>
  </si>
  <si>
    <t>K010</t>
  </si>
  <si>
    <t>M010</t>
  </si>
  <si>
    <t>M100</t>
  </si>
  <si>
    <t>M200</t>
  </si>
  <si>
    <t>M300</t>
  </si>
  <si>
    <t>M320</t>
  </si>
  <si>
    <t>M410</t>
  </si>
  <si>
    <t>M420</t>
  </si>
  <si>
    <t>M430</t>
  </si>
  <si>
    <t>M500</t>
  </si>
  <si>
    <t>M600</t>
  </si>
  <si>
    <t>M610</t>
  </si>
  <si>
    <t>M620</t>
  </si>
  <si>
    <t>M630</t>
  </si>
  <si>
    <t>M640</t>
  </si>
  <si>
    <t>M650</t>
  </si>
  <si>
    <t>M660</t>
  </si>
  <si>
    <t>M670</t>
  </si>
  <si>
    <t>M700</t>
  </si>
  <si>
    <t>O010</t>
  </si>
  <si>
    <t>O011</t>
  </si>
  <si>
    <t>O012</t>
  </si>
  <si>
    <t>O013</t>
  </si>
  <si>
    <t>O020</t>
  </si>
  <si>
    <t>O030</t>
  </si>
  <si>
    <t>O033</t>
  </si>
  <si>
    <t>O040</t>
  </si>
  <si>
    <t>O041</t>
  </si>
  <si>
    <t>n.v.t.</t>
  </si>
  <si>
    <t>O042</t>
  </si>
  <si>
    <t>O045</t>
  </si>
  <si>
    <t>O046</t>
  </si>
  <si>
    <t>O090</t>
  </si>
  <si>
    <t>P010</t>
  </si>
  <si>
    <t>P011</t>
  </si>
  <si>
    <t>P012</t>
  </si>
  <si>
    <t>P013</t>
  </si>
  <si>
    <t>P015</t>
  </si>
  <si>
    <t>P020</t>
  </si>
  <si>
    <t>P021</t>
  </si>
  <si>
    <t>P030</t>
  </si>
  <si>
    <t>P040</t>
  </si>
  <si>
    <t>P041</t>
  </si>
  <si>
    <t>P042</t>
  </si>
  <si>
    <t>P043</t>
  </si>
  <si>
    <t>P050</t>
  </si>
  <si>
    <t>P060</t>
  </si>
  <si>
    <t>P070</t>
  </si>
  <si>
    <t>P080</t>
  </si>
  <si>
    <t>P090</t>
  </si>
  <si>
    <t>P091</t>
  </si>
  <si>
    <t>P100</t>
  </si>
  <si>
    <t>R010</t>
  </si>
  <si>
    <t>S010</t>
  </si>
  <si>
    <t>S020</t>
  </si>
  <si>
    <t>S030</t>
  </si>
  <si>
    <t>S040</t>
  </si>
  <si>
    <t>S041</t>
  </si>
  <si>
    <t>S042</t>
  </si>
  <si>
    <t>S050</t>
  </si>
  <si>
    <t>V010</t>
  </si>
  <si>
    <t>V013</t>
  </si>
  <si>
    <t>V030</t>
  </si>
  <si>
    <t>V040</t>
  </si>
  <si>
    <t>V041</t>
  </si>
  <si>
    <t>V042</t>
  </si>
  <si>
    <t>V043</t>
  </si>
  <si>
    <t>V061</t>
  </si>
  <si>
    <t>V062</t>
  </si>
  <si>
    <t>V063</t>
  </si>
  <si>
    <t>V064</t>
  </si>
  <si>
    <t>V066</t>
  </si>
  <si>
    <t>V070</t>
  </si>
  <si>
    <t>V071</t>
  </si>
  <si>
    <t>V072</t>
  </si>
  <si>
    <t>V073</t>
  </si>
  <si>
    <t>V074</t>
  </si>
  <si>
    <t>V075</t>
  </si>
  <si>
    <t>V076</t>
  </si>
  <si>
    <t>V077</t>
  </si>
  <si>
    <t>V078</t>
  </si>
  <si>
    <t>V080</t>
  </si>
  <si>
    <t>V081</t>
  </si>
  <si>
    <t>V082</t>
  </si>
  <si>
    <t>V083</t>
  </si>
  <si>
    <t>V084</t>
  </si>
  <si>
    <t>V085</t>
  </si>
  <si>
    <t>V086</t>
  </si>
  <si>
    <t>V088</t>
  </si>
  <si>
    <t>W010</t>
  </si>
  <si>
    <t>W013</t>
  </si>
  <si>
    <t>Z010</t>
  </si>
  <si>
    <t>Z011</t>
  </si>
  <si>
    <t>Z020</t>
  </si>
  <si>
    <t>Z021</t>
  </si>
  <si>
    <t>Z022</t>
  </si>
  <si>
    <t>Z023</t>
  </si>
  <si>
    <t>Z060</t>
  </si>
  <si>
    <t>Z080</t>
  </si>
  <si>
    <t>Z100</t>
  </si>
  <si>
    <t>Z110</t>
  </si>
  <si>
    <t>Z120</t>
  </si>
  <si>
    <t>Z130</t>
  </si>
  <si>
    <t>Z140</t>
  </si>
  <si>
    <t>Z141</t>
  </si>
  <si>
    <t>Z150</t>
  </si>
  <si>
    <t>Z151</t>
  </si>
  <si>
    <t>Z160</t>
  </si>
  <si>
    <t>Z180</t>
  </si>
  <si>
    <t>Z190</t>
  </si>
  <si>
    <t>Z230</t>
  </si>
  <si>
    <t>Z250</t>
  </si>
  <si>
    <t>Z251</t>
  </si>
  <si>
    <t>Z252</t>
  </si>
  <si>
    <t>Z260</t>
  </si>
  <si>
    <t>totalen</t>
  </si>
  <si>
    <t>codes (labels) voor variabele punten_forfait</t>
  </si>
  <si>
    <t>code in kolom code_punten_forfait</t>
  </si>
  <si>
    <t>jaar afgifte</t>
  </si>
  <si>
    <t>forfait</t>
  </si>
  <si>
    <t>NUL</t>
  </si>
  <si>
    <t>procedure (prc)</t>
  </si>
  <si>
    <t>advies laag (av4)</t>
  </si>
  <si>
    <t>advies hoog (av8)</t>
  </si>
  <si>
    <t>lat</t>
  </si>
  <si>
    <t>mediation</t>
  </si>
  <si>
    <t>overige</t>
  </si>
  <si>
    <t>niet relevant</t>
  </si>
  <si>
    <t>0 punten</t>
  </si>
  <si>
    <t>voor 2022</t>
  </si>
  <si>
    <t>op forfait</t>
  </si>
  <si>
    <t>vanaf 2022</t>
  </si>
  <si>
    <t>onder forfait</t>
  </si>
  <si>
    <t>boven forfait</t>
  </si>
  <si>
    <t>98 is "ondefinieerbaar", gaat om lege codes in VAS-bestand, waarvan forfait niet bekend is (23 zaken).</t>
  </si>
  <si>
    <t>bron: labels SPSS (syntax)</t>
  </si>
  <si>
    <t>00 "NUL"</t>
  </si>
  <si>
    <t xml:space="preserve">     10 "prc 0 pt." 11 "prc &lt;2022 oud forfait" 12 "prc &gt;= 2022 forfait VdM" 13 "prc &lt;2022 &lt;forfait" 14 "prc &lt;2022 &gt;forfait" 15 "prc &gt;=2022 &lt;forfait" 16 "prc &gt;=2022 &gt;forfait" </t>
  </si>
  <si>
    <t xml:space="preserve">     20 "av4 0 pt." 21 "av4 &lt;2022 4 pt." 22 "av4 &gt;=2022 4 pt." 23 "av4 &lt;2022 &lt;4 pt." 24 "av4 &lt;2022 &gt;4 pt." 25 "av4 &gt;=2022 &lt;4 pt." 26 "av4 &gt;=2022 &gt;4 pt."  </t>
  </si>
  <si>
    <t xml:space="preserve">     30 "av8 0 pt." 31 "av8 &lt;2022 8 pt." 32 "av8 &gt;=2022 10 pt." 33 "av8 &lt;2022 &lt;8 pt." 34 "av8 &lt;2022 &gt;8 pt." 35 "av8 &gt;=2022 &lt;10 pt." 36 "av8 &gt;=2022 &gt;10 pt." </t>
  </si>
  <si>
    <t xml:space="preserve">     40 "lat 0 pt." 41 "lat &lt;2022 2 pt." 42 "lat &gt;=2022 2 pt." 43 "lat &lt;2022 &lt;2 pt." 44 "lat &lt;2022 &gt;2 pt." 45 "lat &gt;=2022 &lt;2 pt." 46 "lat &gt;=2022 &gt;2 pt." </t>
  </si>
  <si>
    <t xml:space="preserve">     50 "mediation" </t>
  </si>
  <si>
    <t xml:space="preserve">     98 "overige (onbekend)".</t>
  </si>
  <si>
    <t>Adviesofprocedure</t>
  </si>
  <si>
    <t>code_punten_forfait</t>
  </si>
  <si>
    <t>aantal_VAS</t>
  </si>
  <si>
    <t>puntenbasis_SOM</t>
  </si>
  <si>
    <t>puntenbasis_gemiddeld</t>
  </si>
  <si>
    <t>av8</t>
  </si>
  <si>
    <t>av4</t>
  </si>
  <si>
    <t>med</t>
  </si>
  <si>
    <t>Omschrijving</t>
  </si>
  <si>
    <t>Personen- en familierecht</t>
  </si>
  <si>
    <t>Echtscheiding met nevenvorderingen</t>
  </si>
  <si>
    <t>Ontbinding (eenzijdig) huwelijk na scheiding van tafel en bed</t>
  </si>
  <si>
    <t>Beëindiging samenwoning met nevenvorderingen</t>
  </si>
  <si>
    <t>Echtscheiding (ambtshalve ex art. 817 Rv)</t>
  </si>
  <si>
    <t>Echtscheiding of beëindiging partnerschap met nevenvorderingen</t>
  </si>
  <si>
    <t>Echtscheiding op gemeenschappelijk verzoek</t>
  </si>
  <si>
    <t>Gemeenschappelijk ontbindingsverzoek na scheiding van tafel en bed</t>
  </si>
  <si>
    <t>Alimentatie / levensonderhoud</t>
  </si>
  <si>
    <t>Ouderlijk gezag / voogdij</t>
  </si>
  <si>
    <t>Omgangsregeling</t>
  </si>
  <si>
    <t>Ondertoezichtstelling (ambtshalve ex art. 1:261 BW)</t>
  </si>
  <si>
    <t>Ondertoezichtstelling en uithuisplaatsing</t>
  </si>
  <si>
    <t>Boedelscheiding</t>
  </si>
  <si>
    <t>Adoptie</t>
  </si>
  <si>
    <t>Vaderschapsactie / ontkenning vaderschap</t>
  </si>
  <si>
    <t>Voornaamswijziging</t>
  </si>
  <si>
    <t>Curatele / onderbewindstelling</t>
  </si>
  <si>
    <t>Bijzondere curator</t>
  </si>
  <si>
    <t>Personen- en familierecht, overige geschillen</t>
  </si>
  <si>
    <t>Asiel- en vreemdelingenrecht</t>
  </si>
  <si>
    <t>Vreemdelingenrecht</t>
  </si>
  <si>
    <t>Verblijf gezinsleden</t>
  </si>
  <si>
    <t>Naturalisatie</t>
  </si>
  <si>
    <t>Toelating als vluchteling</t>
  </si>
  <si>
    <t>Voornemen asiel</t>
  </si>
  <si>
    <t>Beroep asiel</t>
  </si>
  <si>
    <t>Hoger beroep asiel</t>
  </si>
  <si>
    <t>Opgehaald voornemen asiel</t>
  </si>
  <si>
    <t>Herhaalde asielaanvraag, voornemen</t>
  </si>
  <si>
    <t>Herhaalde asielaanvraag, beroep</t>
  </si>
  <si>
    <t>Herhaalde asielaanvraag, hoger beroep</t>
  </si>
  <si>
    <t>A.A. –procedure (1-7-2010 tot 1-9-2011)</t>
  </si>
  <si>
    <t>A.A.- procedure eerste gehoor</t>
  </si>
  <si>
    <t>A.A.- procedure nadere gegevens</t>
  </si>
  <si>
    <t>A.A.- procedure zienswijze</t>
  </si>
  <si>
    <t>V.A.- procedure verwijzing na eerste gehoor</t>
  </si>
  <si>
    <t>V.A.- procedure verwijzing na nadere gegevens</t>
  </si>
  <si>
    <t>V.A.- procedureverwijzing na zienswijze</t>
  </si>
  <si>
    <t>Dublin-zaak</t>
  </si>
  <si>
    <t>Herhaalde asielaanvraag</t>
  </si>
  <si>
    <t>LAT</t>
  </si>
  <si>
    <t>A.A.– procedure (v.a. 1-9-2011)</t>
  </si>
  <si>
    <t>Rechtsbijstand in één fase</t>
  </si>
  <si>
    <t>Rechtsbijstand in twee fases</t>
  </si>
  <si>
    <t>Rechtsbijstand in drie fases</t>
  </si>
  <si>
    <t>zaak als bedoeld in art. 30 Vw</t>
  </si>
  <si>
    <t>Voornemen vervolgaanvraag asiel</t>
  </si>
  <si>
    <t>Beroep vervolgaanvraag asiel</t>
  </si>
  <si>
    <t>Hoger beroep vervolgaanvraag asiel</t>
  </si>
  <si>
    <t>Voornemen vervolgaanvraag, inwilliging</t>
  </si>
  <si>
    <t>Voornemen vervolg, geen inwilliging</t>
  </si>
  <si>
    <t>Beroep vervolgaanvraag asiel, gegrond</t>
  </si>
  <si>
    <t>Beroep vervolg asiel, niet gegrond</t>
  </si>
  <si>
    <t>HB asiel (eis:gegrond)(verw:ongegrond)</t>
  </si>
  <si>
    <t>HB asiel (eis:ongegrond)(verw:gegrond)</t>
  </si>
  <si>
    <t>Bezwaar vervolgaanvraag regulier</t>
  </si>
  <si>
    <t>Beroep vervolgaanvraag regulier</t>
  </si>
  <si>
    <t>Hoger beroep vervolgaanvraag regulier</t>
  </si>
  <si>
    <t>Bezwaar vervolgaanvraag regulier, gegrond</t>
  </si>
  <si>
    <t>Bezwaar vervolgaanvraag regulier, niet gegrond</t>
  </si>
  <si>
    <t>Beroep vervolg regulier, gegrond</t>
  </si>
  <si>
    <t>Beroep vervolg regulier, niet gegrond</t>
  </si>
  <si>
    <t>HB regulier (eis:gegrond)(verw:ongegrond)</t>
  </si>
  <si>
    <t>HB regulier (eis:ongegrond)(verw:gegrond)</t>
  </si>
  <si>
    <t>Overige zaken - Civiel recht</t>
  </si>
  <si>
    <t>Te gebruiken voor alle civiele zaken die niet in een andere categorie te coderen zijn</t>
  </si>
  <si>
    <t>Strafrechtelijke zaken: verdachten</t>
  </si>
  <si>
    <t>Overtreding, dienend voor de sector kanton</t>
  </si>
  <si>
    <t>Jeugdstrafzaken</t>
  </si>
  <si>
    <t>Rijden onder invloed</t>
  </si>
  <si>
    <t>Misdrijven, eerste aanleg behandeling enkelvoudige kamer</t>
  </si>
  <si>
    <t>OM-afdoening / strafbeschikking</t>
  </si>
  <si>
    <t>Supersnelrecht</t>
  </si>
  <si>
    <t>Misdrijven, eerste aanleg behandeling meervoudige kamer</t>
  </si>
  <si>
    <t>Strafrechtelijke zaken: niet-verdachten</t>
  </si>
  <si>
    <t>Uitleveringswet</t>
  </si>
  <si>
    <t>Overleveringswet</t>
  </si>
  <si>
    <t>Vergoeding aan de hand van de codes Z020 t/m Z023)</t>
  </si>
  <si>
    <t>Wet Verplichte GGZ / Wet Zorg en Dwang</t>
  </si>
  <si>
    <t>Overige Wvggz en Wzd</t>
  </si>
  <si>
    <t>Zorgmachtiging Wvggz na voorafgaande zorgmachtiging</t>
  </si>
  <si>
    <t>Zorgmachtiging Wvggz zonder voorafgaande crisismaatregel</t>
  </si>
  <si>
    <t>Terbeschikkingstelling (TBS)</t>
  </si>
  <si>
    <t>Geschillen / klachtzaken gedetineerden</t>
  </si>
  <si>
    <t>Bezwaar weigering teruggave rijbewijs</t>
  </si>
  <si>
    <t>Vordering benadeelde partij in strafproces</t>
  </si>
  <si>
    <t>Weigering teruggave inbeslaggenomen zaken / goederen</t>
  </si>
  <si>
    <t>Gratieverlening</t>
  </si>
  <si>
    <t>Vreemdelingenbewaring</t>
  </si>
  <si>
    <t>Vervolgberoep vreemdelingenbewaring</t>
  </si>
  <si>
    <t>Tenuitvoerlegging voorwaardelijke straf</t>
  </si>
  <si>
    <t>Omzetting taakstraf</t>
  </si>
  <si>
    <t>Schadevergoeding na voorlopige hechtenis</t>
  </si>
  <si>
    <t>Beklag niet-vervolging</t>
  </si>
  <si>
    <t>Wet overdracht tenuitvoerlegging strafvonnis (WOTS)</t>
  </si>
  <si>
    <t>Ontnemingsvordering ex art. 36e Sr</t>
  </si>
  <si>
    <t>Te gebruiken voor alle strafrechtelijke zaken die niet in een andere categorie te coderen zijn</t>
  </si>
  <si>
    <t>Wet tijdelijk huisverbod – voorlopige voorziening</t>
  </si>
  <si>
    <t>Wet tijdelijk huisverbod - beroep</t>
  </si>
  <si>
    <t>Bezwaarschrift DNA-profiel</t>
  </si>
  <si>
    <t>Arbeidsrecht</t>
  </si>
  <si>
    <t>(Ver)nietig(ing) ontslag</t>
  </si>
  <si>
    <t>(Kennelijk) onredelijk ontslag</t>
  </si>
  <si>
    <t>Ontslagvergunning</t>
  </si>
  <si>
    <t>Ontbinding arbeidsovereenkomst</t>
  </si>
  <si>
    <t>Arbeidsrecht – overige geschillen</t>
  </si>
  <si>
    <t>Loonvordering / secundaire arbeidsvoorwaarden</t>
  </si>
  <si>
    <t>Bedrijfsongeval</t>
  </si>
  <si>
    <t>Ambtenarenrecht</t>
  </si>
  <si>
    <t>Bestuursrecht</t>
  </si>
  <si>
    <t>Gijzeling Wet administratiefrechtelijke handhaving verkeersvoorschriften</t>
  </si>
  <si>
    <t>Klachten overheidshandelen</t>
  </si>
  <si>
    <t>Sociale voorzieningen</t>
  </si>
  <si>
    <t>Wet werk en bijstand (Participatiewet)</t>
  </si>
  <si>
    <t>Verhaal bijstand</t>
  </si>
  <si>
    <t>Uitkering vervolgings- / oorlogsslachtoffers</t>
  </si>
  <si>
    <t>Sociale voorzieningen – overige zaken</t>
  </si>
  <si>
    <t>Studiefinanciering</t>
  </si>
  <si>
    <t>Sociale verzekeringen</t>
  </si>
  <si>
    <t>Werkloosheidswet</t>
  </si>
  <si>
    <t>Arbeidsongeschiktheid (w.o. WIA / WAO)</t>
  </si>
  <si>
    <t>Sociale verzekeringen – overige zaken</t>
  </si>
  <si>
    <t>Algemene kinderbijslagwet</t>
  </si>
  <si>
    <t>Erfrecht</t>
  </si>
  <si>
    <t>Geschillen m.b.t. het erfrecht</t>
  </si>
  <si>
    <t>Belastingrecht</t>
  </si>
  <si>
    <t>Goederenrecht</t>
  </si>
  <si>
    <t>Huurrecht</t>
  </si>
  <si>
    <t>Beëindiging huurovereenkomst</t>
  </si>
  <si>
    <t>Onderhoud door verhuurder</t>
  </si>
  <si>
    <t>Wet huurprijzen woonruimte</t>
  </si>
  <si>
    <t>Geschil (ver)huur woonruimte</t>
  </si>
  <si>
    <t>Geschil (ver)huur bedrijfsruimte</t>
  </si>
  <si>
    <t>Woonrecht</t>
  </si>
  <si>
    <t>Geschil woon- of huurtoeslag</t>
  </si>
  <si>
    <t>Faillissementsrecht/ schuldsanering</t>
  </si>
  <si>
    <t>Faillissementsrecht</t>
  </si>
  <si>
    <t>Schuldsanering / betalingsregeling</t>
  </si>
  <si>
    <t>Verbintenissenrecht</t>
  </si>
  <si>
    <t>Geschil onrechtmatige daad</t>
  </si>
  <si>
    <t>Straat- en/of contactverbod</t>
  </si>
  <si>
    <t>Geschil onrechtmatige overheidsdaad</t>
  </si>
  <si>
    <t>Gewelds- en zedenmisdrijf met ernstig letsel</t>
  </si>
  <si>
    <t>Geschil verzekering</t>
  </si>
  <si>
    <t>Geschil verbintenissenrecht</t>
  </si>
  <si>
    <t>Geschil medisch handelen</t>
  </si>
  <si>
    <t>Voorschot subsidie medisch haalbaarheidsonderzoek (MHO)</t>
  </si>
  <si>
    <t>Vaststelling subsidie MHO</t>
  </si>
  <si>
    <t>Voorschot subsidie 2 e MHO</t>
  </si>
  <si>
    <t>Vaststelling subsidie 2 e MHO</t>
  </si>
  <si>
    <t>Aanvraag lening medisch deskundigenbericht</t>
  </si>
  <si>
    <t>Terugbetaling lening medisch deskundigenbericht</t>
  </si>
  <si>
    <t>Aandelenlease</t>
  </si>
  <si>
    <t>Milieurecht</t>
  </si>
  <si>
    <t>Diverse bijzondere regelingen</t>
  </si>
  <si>
    <t>P044</t>
  </si>
  <si>
    <t>Kosteloze rechtsbijstand ouders bij gezagsbeëindiging (GBM)</t>
  </si>
  <si>
    <t>X020</t>
  </si>
  <si>
    <t>Bijstand schadevergoeding TwG (IMG)</t>
  </si>
  <si>
    <t>X030</t>
  </si>
  <si>
    <t>Bijstand versterking TwG (NCG)</t>
  </si>
  <si>
    <t>X040</t>
  </si>
  <si>
    <t>Bijstand klokkenluidersregeling</t>
  </si>
  <si>
    <t>bron:</t>
  </si>
  <si>
    <t>Punten- en zaakcodelijst voor toevoeg- en vaststelregistratie - rvr.org</t>
  </si>
  <si>
    <t>Afgiftedatum t/m 31-12-2021</t>
  </si>
  <si>
    <t>Afgiftedatum m.i.v. 1-1-2022</t>
  </si>
  <si>
    <t>Aanvraagdatum m.i.v. 1-9-2022</t>
  </si>
  <si>
    <t>omschrijving</t>
  </si>
  <si>
    <t>O043</t>
  </si>
  <si>
    <t>O044</t>
  </si>
  <si>
    <t>V045</t>
  </si>
  <si>
    <t>V046</t>
  </si>
  <si>
    <t>V047</t>
  </si>
  <si>
    <t>V048</t>
  </si>
  <si>
    <t>V050</t>
  </si>
  <si>
    <t>V051</t>
  </si>
  <si>
    <t>V052</t>
  </si>
  <si>
    <t>V053</t>
  </si>
  <si>
    <t>V054</t>
  </si>
  <si>
    <t>V055</t>
  </si>
  <si>
    <t>V056</t>
  </si>
  <si>
    <t>V057</t>
  </si>
  <si>
    <t>V058</t>
  </si>
  <si>
    <t>V059</t>
  </si>
  <si>
    <t>V060</t>
  </si>
  <si>
    <t>V065</t>
  </si>
  <si>
    <t>V087</t>
  </si>
  <si>
    <t>toevoegingen met vergoeding op het niveau van het forfait</t>
  </si>
  <si>
    <t>toevoegingen met vergoeding boven niveau van het forfait</t>
  </si>
  <si>
    <t>toevoegingen met 0 punten</t>
  </si>
  <si>
    <t>bij berekening kosten nieuw forfait wordt rekening gehouden met:</t>
  </si>
  <si>
    <t>Adviestoevoegingen</t>
  </si>
  <si>
    <t>lichte adviestoevoeging</t>
  </si>
  <si>
    <t>korte adviestoevoeging t/m 6 uur (4 pt.)</t>
  </si>
  <si>
    <t>lange adviestoevoeging 7 uur of meer (10 pt.)</t>
  </si>
  <si>
    <t>Huidig forfait</t>
  </si>
  <si>
    <t>gemiddelde tijdsbesteding</t>
  </si>
  <si>
    <t>afgerond</t>
  </si>
  <si>
    <t>Diverse regelingen</t>
  </si>
  <si>
    <t>Bijstand  schadevergoeding TwG (IMG)</t>
  </si>
  <si>
    <t>Bijstand Klokkenluidersregeling</t>
  </si>
  <si>
    <t>forfait VdM II voor berekening</t>
  </si>
  <si>
    <t>forfait P015</t>
  </si>
  <si>
    <t>toelichting</t>
  </si>
  <si>
    <t>vervallen, zaakcode VdMI ingevuld</t>
  </si>
  <si>
    <t>procedure - aantal vastgesteld</t>
  </si>
  <si>
    <t>procedure - aantal basispunten vastgesteld</t>
  </si>
  <si>
    <t>procedure - aantal 0 punten</t>
  </si>
  <si>
    <t>procedure - voor 2022, aantal op forfait</t>
  </si>
  <si>
    <t>procedure - voor 2022, aantal onder forfait</t>
  </si>
  <si>
    <t>procedure - voor 2022, aantal boven forfait</t>
  </si>
  <si>
    <t>procedure - vanaf 2022, aantal op forfait</t>
  </si>
  <si>
    <t>procedure - vanaf 2022, aantal onder forfait</t>
  </si>
  <si>
    <t>procedure - vanaf 2022, aantal boven forfait</t>
  </si>
  <si>
    <t>procedure - forfait VdM II</t>
  </si>
  <si>
    <t>procedure - forfait VdM I</t>
  </si>
  <si>
    <t>procedure - max extra punten toev. op forfait</t>
  </si>
  <si>
    <t>procedure - max extra punten toev. onder forfait</t>
  </si>
  <si>
    <t>procedure - max extra punten toev. boven forfait</t>
  </si>
  <si>
    <t>procedure - max extra punten toev. nul forfait</t>
  </si>
  <si>
    <t>procedure - aantal toev. binnen bereik VdM II</t>
  </si>
  <si>
    <t>procedure - totaal extra punten toev. VdM II t.o.v. huidig</t>
  </si>
  <si>
    <t>procedure - extra kosten door VdM II</t>
  </si>
  <si>
    <t>excl. btw</t>
  </si>
  <si>
    <t>incl. btw</t>
  </si>
  <si>
    <t>rekentarief</t>
  </si>
  <si>
    <t>geen advies, voor berekening forfait VdMI ingevuld</t>
  </si>
  <si>
    <t>tabel punten per zaakcode t.b.v. berekeningen (naar deze tabel wordt in formules verwezen)</t>
  </si>
  <si>
    <t>M120</t>
  </si>
  <si>
    <t>M210</t>
  </si>
  <si>
    <t>M220</t>
  </si>
  <si>
    <t>M400</t>
  </si>
  <si>
    <t>extra kosten punten 2023</t>
  </si>
  <si>
    <t>extra kosten punten 2022</t>
  </si>
  <si>
    <t>Financiële gevolgen forfaits VdM II</t>
  </si>
  <si>
    <t>gemiddelde extra kosten 2022/2023</t>
  </si>
  <si>
    <t>toevoegingen met vergoeding onder niveau van het forfait</t>
  </si>
  <si>
    <t>afgegeven voor 2022</t>
  </si>
  <si>
    <t>afgegeven vanaf 2022</t>
  </si>
  <si>
    <t>b (punten)</t>
  </si>
  <si>
    <t>d (toevoegingen)</t>
  </si>
  <si>
    <t>e (toevoegingen)</t>
  </si>
  <si>
    <t>f (toevoegingen)</t>
  </si>
  <si>
    <t>g (toevoegingen)</t>
  </si>
  <si>
    <t>h (toevoegingen)</t>
  </si>
  <si>
    <t>i (toevoegingen)</t>
  </si>
  <si>
    <t>j (punten)</t>
  </si>
  <si>
    <t>k (punten)</t>
  </si>
  <si>
    <t>l = (d+g) * (k-j) (punten)</t>
  </si>
  <si>
    <t>m = (e+h) * (k-j) (punten)</t>
  </si>
  <si>
    <t>n = (f+i) * (k-j) (punten)</t>
  </si>
  <si>
    <t>o = c * (k-j) (punten)</t>
  </si>
  <si>
    <t>p = c t/m i * knoppen (toevoegingen)</t>
  </si>
  <si>
    <t>procedure - aantal toev. mee in berekening</t>
  </si>
  <si>
    <t>q = l t/m m * knoppen (punten)</t>
  </si>
  <si>
    <t>r = q * punttarief (euro)</t>
  </si>
  <si>
    <t>q = l t/m m
* knoppen
(punten)</t>
  </si>
  <si>
    <t>p = c t/m i
* knoppen
(toevoegingen)</t>
  </si>
  <si>
    <t>voor/vanaf 2022</t>
  </si>
  <si>
    <t>vergoeding per punt</t>
  </si>
  <si>
    <t>mediation (med)</t>
  </si>
  <si>
    <t>c (toevoegingen)
(zie opm. in F3)</t>
  </si>
  <si>
    <t>a (toevoegingen)
(zie opm. in D3)</t>
  </si>
  <si>
    <t>K1</t>
  </si>
  <si>
    <t>maal extra punten VdM i.v.m. samenhang</t>
  </si>
  <si>
    <t>r = q * punttarief huidig (euro)</t>
  </si>
  <si>
    <t>procedure</t>
  </si>
  <si>
    <t>aantal toevoegingen</t>
  </si>
  <si>
    <t>huidig totaal vastgestelde punten</t>
  </si>
  <si>
    <t>soort toevoeging</t>
  </si>
  <si>
    <t>advies kort</t>
  </si>
  <si>
    <t>advies lang</t>
  </si>
  <si>
    <t>EXU</t>
  </si>
  <si>
    <t>piket</t>
  </si>
  <si>
    <t>Wrb-deel</t>
  </si>
  <si>
    <t>Aantal declaraties</t>
  </si>
  <si>
    <t>Aantal punten</t>
  </si>
  <si>
    <t>Afgerond</t>
  </si>
  <si>
    <t>Toevoegingen</t>
  </si>
  <si>
    <t>waarvan advies kort</t>
  </si>
  <si>
    <t>waarvan advies lang</t>
  </si>
  <si>
    <t>waarvan lat</t>
  </si>
  <si>
    <t>waarvan mediation</t>
  </si>
  <si>
    <t>waarvan procedure</t>
  </si>
  <si>
    <t>waarvan procedure als</t>
  </si>
  <si>
    <t>advies vastgesteld kort</t>
  </si>
  <si>
    <t>advies vastgesteld lang</t>
  </si>
  <si>
    <t>Bewerkelijke zaken</t>
  </si>
  <si>
    <t>(281.439) 309.375</t>
  </si>
  <si>
    <t>(293.077) 327.708</t>
  </si>
  <si>
    <t>waarvan straf</t>
  </si>
  <si>
    <t>(248.913) 275.329</t>
  </si>
  <si>
    <t>(257.223) 289.937</t>
  </si>
  <si>
    <t>waarvan anders</t>
  </si>
  <si>
    <t>dan straf</t>
  </si>
  <si>
    <t>(32.526) 34.047</t>
  </si>
  <si>
    <t>(35.854) 37.771</t>
  </si>
  <si>
    <t>Piket</t>
  </si>
  <si>
    <t>Aantal vastgestelde punten 2022</t>
  </si>
  <si>
    <t>Aantal vastgestelde punten 2023</t>
  </si>
  <si>
    <t>- waarvan geen straf</t>
  </si>
  <si>
    <t>punten EXU straf reistijd</t>
  </si>
  <si>
    <t>punten EXU straf (0,955 x tarief)</t>
  </si>
  <si>
    <t>- waarvan straf</t>
  </si>
  <si>
    <t>In Tabel 1 zijn de punten weergegeven per onderdeel van de Wrb voor de jaren 2022 en 2023. Voor bewerkelijke zaken zijn tussen haakjes de punten exclusief daarnaast inclusief punten reistijd weergegeven, uitgesplitst naar of het straf of andere bewerkelijke zaken betrof. Voor bewerkelijke zaken bij straf krijgt een advocaat een andere vergoeding, namelijk 0,955 x 1 punt x het basistarief. Dit geldt echter niet voor de reistijd in strafzaken (zie art. 22 Bvr).</t>
  </si>
  <si>
    <t>Totaal punten huidig</t>
  </si>
  <si>
    <t>Extra punten door Van der Meer II</t>
  </si>
  <si>
    <t>- aanpassing forfaits</t>
  </si>
  <si>
    <t>- aanpassen toeslagen</t>
  </si>
  <si>
    <t>- normaal tarief</t>
  </si>
  <si>
    <t>vergoeding per punt na aanpassing</t>
  </si>
  <si>
    <t>Totaal</t>
  </si>
  <si>
    <t>btw</t>
  </si>
  <si>
    <t>Totale kosten</t>
  </si>
  <si>
    <t>verhoging tarief</t>
  </si>
  <si>
    <t>kosten aanpassen tarief</t>
  </si>
  <si>
    <t>vastgestelde punten</t>
  </si>
  <si>
    <t>- met 0,955 x tarief (EXU straf)</t>
  </si>
  <si>
    <t>kosten aanpassen punttarief</t>
  </si>
  <si>
    <t>totale kosten adviezen</t>
  </si>
  <si>
    <t>Kategorie</t>
  </si>
  <si>
    <t>huidig forfait</t>
  </si>
  <si>
    <t>voorstel nieuw forfait</t>
  </si>
  <si>
    <t>(kennelijk) onredelijk ontslag</t>
  </si>
  <si>
    <t xml:space="preserve"> oude code wordt niet meer gebruikt</t>
  </si>
  <si>
    <t xml:space="preserve">Arbeidsrecht- overige </t>
  </si>
  <si>
    <t xml:space="preserve">Gijzeling Wet administratiefrechtelijke handhaving verkeersvoorschriften </t>
  </si>
  <si>
    <t xml:space="preserve">Uitkering vervolgings- / oorlogsslachtoffers </t>
  </si>
  <si>
    <t>Wet huurprijzen en woonruimte</t>
  </si>
  <si>
    <t xml:space="preserve">Geschil (ver)huur bedrijfsruimte </t>
  </si>
  <si>
    <t xml:space="preserve">Aandelenlease </t>
  </si>
  <si>
    <t xml:space="preserve">Echtscheiding (ambtshalve ex art. 817 Rv) </t>
  </si>
  <si>
    <t>boedelscheiding</t>
  </si>
  <si>
    <t>adoptie</t>
  </si>
  <si>
    <t>voornaamswijziging</t>
  </si>
  <si>
    <t>civiel overige</t>
  </si>
  <si>
    <t>naturalisatie</t>
  </si>
  <si>
    <t xml:space="preserve">Voornemen vervolgaanvraag asiel </t>
  </si>
  <si>
    <t>beroep vervolgaanvraag asiel</t>
  </si>
  <si>
    <t>HB vervolgaanvraag asiel</t>
  </si>
  <si>
    <t>vaststelcode beroep vervolgaanvraag asiel gegrond</t>
  </si>
  <si>
    <t>vaststelcode vervolg asiel niet gegrond</t>
  </si>
  <si>
    <t xml:space="preserve">HB asiel (eis:gegrond)(verw:ongegrond) </t>
  </si>
  <si>
    <t xml:space="preserve">Vaststelcode HB asiel </t>
  </si>
  <si>
    <t xml:space="preserve">Bezwaar vervolgaanvraag regulier </t>
  </si>
  <si>
    <t xml:space="preserve">Beroep vervolgaanvraag regulier </t>
  </si>
  <si>
    <t xml:space="preserve">Beroep vervolg regulier, gegrond </t>
  </si>
  <si>
    <t xml:space="preserve">Gegrond bezwaar vervolgaanvraag regulier </t>
  </si>
  <si>
    <t xml:space="preserve">Bezwaar, vergoeding ex art. 5b.1 Bvr </t>
  </si>
  <si>
    <t xml:space="preserve">Beroep, vergoeding ex art. 5b lid 2 Bvr </t>
  </si>
  <si>
    <t xml:space="preserve">HB regulier (eis:ongegrond)(verw:gegrond) </t>
  </si>
  <si>
    <t xml:space="preserve">Uitleveringswet </t>
  </si>
  <si>
    <t>vervolgberoep vreemdelingenbewaring</t>
  </si>
  <si>
    <t xml:space="preserve">Wet overdracht tenuitvoerlegging strafvonnis (WOTS) </t>
  </si>
  <si>
    <t xml:space="preserve">Wet tijdelijk huisverbod – voorlopige voorziening </t>
  </si>
  <si>
    <t>Wet tijdelijke huisverbod - beroep</t>
  </si>
  <si>
    <t>forfait advies VdM II</t>
  </si>
  <si>
    <t>forfait toevoegingen kleine n</t>
  </si>
  <si>
    <t>Advies punten per zaakcode Van der Meer II (tabelnaam: Tabel_forfaits_Cebeon)</t>
  </si>
  <si>
    <t>Huidige punten per zaakcode (tabelnaam: Tabel_forfaits_huidig)</t>
  </si>
  <si>
    <t>kleine n</t>
  </si>
  <si>
    <t>rechtsterrein</t>
  </si>
  <si>
    <t>Soort toeslag</t>
  </si>
  <si>
    <t>Huidige toeslag</t>
  </si>
  <si>
    <t>voorgestelde toeslag</t>
  </si>
  <si>
    <t>opmerking</t>
  </si>
  <si>
    <t>straf</t>
  </si>
  <si>
    <t>toeslag aanwezigheid bij getuigenverhoor</t>
  </si>
  <si>
    <t>artikel 17 Bvr, toeslag per gehoorde getuige</t>
  </si>
  <si>
    <t>asiel</t>
  </si>
  <si>
    <t>toeslag VA procedure</t>
  </si>
  <si>
    <t>artikel 5a lid2 Bvr</t>
  </si>
  <si>
    <t>toeslag opvolging Straf</t>
  </si>
  <si>
    <t>Artikel 20</t>
  </si>
  <si>
    <t>toeslag opvolging Cassatie</t>
  </si>
  <si>
    <t>Artikel 9, respectievelijk artikel 20 Bvr</t>
  </si>
  <si>
    <t>civiel</t>
  </si>
  <si>
    <t>toeslag opvolging Civiel</t>
  </si>
  <si>
    <t>artikel 9 Bvr</t>
  </si>
  <si>
    <t>toeslag opvolging advies (civiel)</t>
  </si>
  <si>
    <t>Artikel 12 lid 2 Bvr verklaart artikel 9 Bvr van toepassing bij advieszaken van 7 &gt; uur</t>
  </si>
  <si>
    <t>toeslag gevangenhouding</t>
  </si>
  <si>
    <t>artikel 16 lid 1 Bvr</t>
  </si>
  <si>
    <t>toeslag verlenging gevangenhouding</t>
  </si>
  <si>
    <t>toeslag descente</t>
  </si>
  <si>
    <t>artikel 17 Bvr, toeslag per descente</t>
  </si>
  <si>
    <t>toeslag extrazittingen Civiel</t>
  </si>
  <si>
    <t>artikel 7 Bvr , Per 1-9-2022:  niet van toepassing in zaken als bedoeld in de rijen A58, A59, A60, A61, A62, A65 en A66 van de bijlage.</t>
  </si>
  <si>
    <t>toeslag extra zittingen Straf</t>
  </si>
  <si>
    <t>artikel 18 lid 2 Bvr</t>
  </si>
  <si>
    <t>toeslag verhoor verdachte tbv gerechtelijk vooronderzoek (GVO)</t>
  </si>
  <si>
    <t xml:space="preserve">artikel 17 Bvr                                                                                                                                     </t>
  </si>
  <si>
    <t>p &amp; f</t>
  </si>
  <si>
    <t>toeslag scheiding VOVO tegenspraak</t>
  </si>
  <si>
    <t>Artikel 8 Bvr sub a</t>
  </si>
  <si>
    <t>P &amp; f</t>
  </si>
  <si>
    <t>toeslag scheiding met minderjarige kinderen</t>
  </si>
  <si>
    <t xml:space="preserve">Artikel 8 Bvr sub c                                                                                                      
NB mediation kent hier ook toeslag voor van 4 punten, artikel 8 lid 2 Btm. Verhoging van de toeslag voor advocaten leidt niet automatisch tot verhoging toeslag mediators. </t>
  </si>
  <si>
    <t>toeslag scheiding partneralimentatie</t>
  </si>
  <si>
    <t>Artikel 8 Bvr sub b</t>
  </si>
  <si>
    <t>toeslag herleving asiel</t>
  </si>
  <si>
    <t>artikel 5a lid 5 Bvr</t>
  </si>
  <si>
    <t>toeslag asiel nader verhoor</t>
  </si>
  <si>
    <t>artikel 5a lid 3 Bvr</t>
  </si>
  <si>
    <t>toeslag VOVO asiel</t>
  </si>
  <si>
    <t>artikel 5a lid 4 Bvr</t>
  </si>
  <si>
    <t>toeslag afhechtingstoeslag</t>
  </si>
  <si>
    <t xml:space="preserve">artikel 8 lid 3 Btm
NB artikel is ruimer gedefinieerd dan alleen personen en familierecht, maar in de praktijk vooral op dit gebied van toepassing. </t>
  </si>
  <si>
    <t>Toeslagen</t>
  </si>
  <si>
    <t>Aanduiding in de data</t>
  </si>
  <si>
    <t>toeslag_aanwezigheid_getuigenverhoor</t>
  </si>
  <si>
    <t>toeslag_va_procedure</t>
  </si>
  <si>
    <t>toeslag_opvolging_s</t>
  </si>
  <si>
    <t>toeslag_opvolging_c</t>
  </si>
  <si>
    <t>toeslag_opv_advies</t>
  </si>
  <si>
    <t>toeslag_gevangenhouding</t>
  </si>
  <si>
    <t>Valt binnen toeslag gevangenhouding</t>
  </si>
  <si>
    <t>toeslag_descente</t>
  </si>
  <si>
    <t>toeslag_extra_zittingen_c</t>
  </si>
  <si>
    <t>toeslag_extra_zittingen_s</t>
  </si>
  <si>
    <t>toeslag_gerechtelijk_vooronderzoek</t>
  </si>
  <si>
    <t>toeslag_aanv_tegenspr_vv</t>
  </si>
  <si>
    <t>toeslag_aanv_minderj</t>
  </si>
  <si>
    <t>toeslag_aanv_partnerali</t>
  </si>
  <si>
    <t>toeslag_herleving</t>
  </si>
  <si>
    <t>toeslag_nader_gehoor</t>
  </si>
  <si>
    <t>toeslag_vovo</t>
  </si>
  <si>
    <t>toeslag wijkrechtspraak</t>
  </si>
  <si>
    <t>toeslag_wijkrb</t>
  </si>
  <si>
    <t>verhoging punten</t>
  </si>
  <si>
    <t>kosten verhoging 2022</t>
  </si>
  <si>
    <t>kosten verhoging 2023</t>
  </si>
  <si>
    <t>tabelnaam: Tabel_toeslagen</t>
  </si>
  <si>
    <t>extra punten toesl. door verhoging 2022</t>
  </si>
  <si>
    <t>extra punten toesl. door verhoging 2023</t>
  </si>
  <si>
    <t>1. aanpassen forfaits</t>
  </si>
  <si>
    <t>3. aanpassen punttarief*</t>
  </si>
  <si>
    <t>percentage tarief EXU straf</t>
  </si>
  <si>
    <t>aantal toeslagen 2022</t>
  </si>
  <si>
    <t>aantal toeslagen 2023</t>
  </si>
  <si>
    <t>1. aanpassing forfaits</t>
  </si>
  <si>
    <t>2. aanpassing toeslagen</t>
  </si>
  <si>
    <t>overige uitgangspunten</t>
  </si>
  <si>
    <t>3. aanpassing punttarief</t>
  </si>
  <si>
    <t>afronden grote bedragen</t>
  </si>
  <si>
    <t>berekend: aantal punten verhoging</t>
  </si>
  <si>
    <t>celnaam: factor_samenhang</t>
  </si>
  <si>
    <t>celnaam: knop_op_forfait</t>
  </si>
  <si>
    <t>celnaam: knop_onder_forfait</t>
  </si>
  <si>
    <t>celnaam: knop_boven_forfait</t>
  </si>
  <si>
    <t>celnaam: knop_nul_forfait</t>
  </si>
  <si>
    <t>celnaam: knop_toeslagen</t>
  </si>
  <si>
    <t>celnamen: tarief_huidig, tarief_nieuw, tarief_verhoging</t>
  </si>
  <si>
    <t>celnaam: tarief_EXU_straf</t>
  </si>
  <si>
    <t>celnaam: btw</t>
  </si>
  <si>
    <t>gemiddelde kan afwijken van gemiddelde van bovengenoemde getallen door afronding van die getallen</t>
  </si>
  <si>
    <t>Jaar Besluit Rel1 Vas Datum</t>
  </si>
  <si>
    <t>Vaststelkategorie</t>
  </si>
  <si>
    <t>toeslag opvolging C</t>
  </si>
  <si>
    <t>toeslag opvolging S</t>
  </si>
  <si>
    <t>toeslag opvolging AV</t>
  </si>
  <si>
    <t>Besluit vaststelling</t>
  </si>
  <si>
    <t>Aantal decl</t>
  </si>
  <si>
    <t>DEC</t>
  </si>
  <si>
    <t>Som:</t>
  </si>
  <si>
    <t>voorstel opvolgingstoeslag</t>
  </si>
  <si>
    <t>van het forfait</t>
  </si>
  <si>
    <t>huidige opvolgingstoeslag</t>
  </si>
  <si>
    <t>punten</t>
  </si>
  <si>
    <t>afronding punten</t>
  </si>
  <si>
    <t>huidig forfait adviestoevoeging &gt;=7 uur</t>
  </si>
  <si>
    <t>totaal extra punten t.o.v. huidige toeslag</t>
  </si>
  <si>
    <t>Berekening kosten procentuele opvolgingstoeslag 2022</t>
  </si>
  <si>
    <t>Berekening kosten procentuele opvolgingstoeslag 2023</t>
  </si>
  <si>
    <t>totale extra kosten procentuele opvolgingstoeslag</t>
  </si>
  <si>
    <t>toeslag opvolging VdM II prc</t>
  </si>
  <si>
    <t>toeslag opvolging VdM II adv</t>
  </si>
  <si>
    <t>forfait VdMII prc</t>
  </si>
  <si>
    <t>forfait VdMII adv</t>
  </si>
  <si>
    <t>aantal opvolging procedure 2023</t>
  </si>
  <si>
    <t>aantal opvolging pocedure 2022</t>
  </si>
  <si>
    <t>aantal opvolging advies 2023*</t>
  </si>
  <si>
    <t>aantal opvolging advies 2022*</t>
  </si>
  <si>
    <t>totaal</t>
  </si>
  <si>
    <t>Uitgangspunten</t>
  </si>
  <si>
    <t>waarde</t>
  </si>
  <si>
    <t>eenheid</t>
  </si>
  <si>
    <t>a. wel/niet aanpassen toeslagen</t>
  </si>
  <si>
    <t>b. apart aanpassen toeslag opvolging (vinkje aan) of opvolging gaat mee in aanpassing overige toeslagen (vinkje uit)</t>
  </si>
  <si>
    <t>2a. aanpassen toeslagen</t>
  </si>
  <si>
    <t>2b. aanpassen toeslag opvolging</t>
  </si>
  <si>
    <t>- aanpassen opvolging</t>
  </si>
  <si>
    <t>(aantallen toevoegingen berekend door totaal toegekende punten uit brontabel te delen door huidige toeslag (2 pt.)</t>
  </si>
  <si>
    <t>* opvolgingstoeslag kan in advieszaken alleen bij advies &gt;= 7 uur (art. 12 lid 2 Bvr jo. Art. 9 Bvr). Voor die zaken wordt hier 10 punten gerekend, tenzij het forfait voor proceduretoevoegingen in de betreffende zaakcode lager is dan 10 punten. In dat geval wordt de vergoeding verlaagd tot dat forfait (artikel 12 lid 4 Bvr).</t>
  </si>
  <si>
    <t>Bron: RvR</t>
  </si>
  <si>
    <t>handmatig ingevoerd o.b.v. E64, zie voetnoot bij tabel</t>
  </si>
  <si>
    <t>Wijziging afhechtingstoeslag wordt in apart bestand berekend; afhechting wordt niet als aparte toeslag geregistreerd.</t>
  </si>
  <si>
    <t>Voorstel punten toeslagen commisse-Van der Meer II: verhoging met 35%, afronding op halve punten met reguliere afrondingsregels</t>
  </si>
  <si>
    <t>bron: Kenniscentrum</t>
  </si>
  <si>
    <t>op langere termijn; in eerste instantie huidige opvolgingstoeslag met 35% verhogen (berekend in tabblad toeslagen)</t>
  </si>
  <si>
    <t>bron: RvR</t>
  </si>
  <si>
    <r>
      <t xml:space="preserve">Berekeningen aantal </t>
    </r>
    <r>
      <rPr>
        <b/>
        <u/>
        <sz val="10"/>
        <color theme="1"/>
        <rFont val="Calibri"/>
        <family val="2"/>
        <scheme val="minor"/>
      </rPr>
      <t>extra</t>
    </r>
    <r>
      <rPr>
        <b/>
        <sz val="10"/>
        <color theme="1"/>
        <rFont val="Calibri"/>
        <family val="2"/>
        <scheme val="minor"/>
      </rPr>
      <t xml:space="preserve"> punten VdM II t.o.v. huidige situatie </t>
    </r>
    <r>
      <rPr>
        <sz val="10"/>
        <color theme="1"/>
        <rFont val="Calibri"/>
        <family val="2"/>
        <scheme val="minor"/>
      </rPr>
      <t>(uitgegaan van wat huidige forfait zou zijn, alsof voor alle toevoegingen het forfait van na 2022 is toegekend)</t>
    </r>
  </si>
  <si>
    <t>tabelnaam: Tabel_opvolging2022</t>
  </si>
  <si>
    <t>tabelnaam: Tabel_opvolging2023</t>
  </si>
  <si>
    <t>tabelnaam: Tabel_prc_2022</t>
  </si>
  <si>
    <t>tabelnaam: Tabel_VAS2023</t>
  </si>
  <si>
    <t>toelichting bij kolom Adviesofprocedure</t>
  </si>
  <si>
    <t>av4: adviestoevoeging kort (&lt;7 uur)</t>
  </si>
  <si>
    <t>av8: adviestoevoeging kort (&gt;= 7 uur)</t>
  </si>
  <si>
    <t>lat: lichte adviestoevoeging</t>
  </si>
  <si>
    <t>med: mediationtoevoeging</t>
  </si>
  <si>
    <t>prc: proceduretoevoeging</t>
  </si>
  <si>
    <t>toelichting codes bij kolom code_punten_forfait</t>
  </si>
  <si>
    <t>tabelnaam: Tabel_forfaits</t>
  </si>
  <si>
    <t>tabelnaam: Tabel_forfaits_Cebeon</t>
  </si>
  <si>
    <t>tabelnaam: Tabel_forfaits_huidig</t>
  </si>
  <si>
    <t>geen advies</t>
  </si>
  <si>
    <t>(t.b.v. berekening oude waarde ingevuld)</t>
  </si>
  <si>
    <t>wordt samengevoegd met H040, nieuwe code krijgt 18 punten</t>
  </si>
  <si>
    <t>geen voorstel; t.b.v. berekening zelf oude waarde ingevuld</t>
  </si>
  <si>
    <t>Berekening aanpassing forfaits o.b.v. vaststellingen 2022</t>
  </si>
  <si>
    <t>Berekening aanpassing forfaits o.b.v. vaststellingen 2023</t>
  </si>
  <si>
    <t>Berekening aanpassing opvolgingstoeslag: toeslag 25% van forfait</t>
  </si>
  <si>
    <t>Berekening aanpassing toeslagen: verhogen met 35%</t>
  </si>
  <si>
    <t>Berekening verhogen punttarief</t>
  </si>
  <si>
    <t>handmatig ingevoerd o.b.v. E63 zie voetnoot bij tabel</t>
  </si>
  <si>
    <t>handmatig ingevoerd o.b.v. E66, zie voetnoot bij tabel</t>
  </si>
  <si>
    <t>Resultaten aanpassen forfaits, verhogen punttarief en aanpassen toeslagen</t>
  </si>
  <si>
    <t>Instellingen bij berekeningen (onderstaande instellingen passen bij voorstellen en keuzes commissie-Van der Meer II)</t>
  </si>
  <si>
    <t>apart aanpassen opvolgingstoeslag (toeslag als pct van forfait) kan pas op langere termijn, knop staat daarom uit</t>
  </si>
  <si>
    <t>(prc = proceduretoevoeging, adv = zware adviestoevoeging)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</si>
</sst>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0.0"/>
    <numFmt numFmtId="165" formatCode="&quot;€&quot;\ #,##0.00"/>
    <numFmt numFmtId="166" formatCode="&quot;€&quot;\ #,##0"/>
    <numFmt numFmtId="167" formatCode="0.0"/>
    <numFmt numFmtId="168" formatCode="0.0%"/>
  </numFmts>
  <fonts count="61"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theme="1"/>
      <name val="Calibri"/>
      <family val="2"/>
      <scheme val="minor"/>
    </font>
    <font>
      <b/>
      <sz val="10"/>
      <color theme="1"/>
      <name val="Calibri"/>
      <family val="2"/>
      <scheme val="minor"/>
    </font>
    <font>
      <i/>
      <sz val="10"/>
      <color theme="1"/>
      <name val="Calibri"/>
      <family val="2"/>
      <scheme val="minor"/>
    </font>
    <font>
      <u/>
      <sz val="10"/>
      <color theme="10"/>
      <name val="Arial"/>
      <family val="2"/>
    </font>
    <font>
      <sz val="10"/>
      <color rgb="FF33587F"/>
      <name val="Calibri"/>
      <family val="2"/>
      <scheme val="minor"/>
    </font>
    <font>
      <sz val="10"/>
      <color rgb="FF000000"/>
      <name val="Calibri"/>
      <family val="2"/>
      <scheme val="minor"/>
    </font>
    <font>
      <b/>
      <sz val="10"/>
      <color theme="0"/>
      <name val="Calibri"/>
      <family val="2"/>
      <scheme val="minor"/>
    </font>
    <font>
      <sz val="11"/>
      <color theme="1"/>
      <name val="Calibri"/>
      <family val="2"/>
      <scheme val="minor"/>
    </font>
    <font>
      <sz val="8"/>
      <name val="Arial"/>
      <family val="2"/>
    </font>
    <font>
      <u/>
      <sz val="11"/>
      <color theme="10"/>
      <name val="Calibri"/>
      <family val="2"/>
      <scheme val="minor"/>
    </font>
    <font>
      <u/>
      <sz val="10"/>
      <color theme="10"/>
      <name val="Calibri"/>
      <family val="2"/>
      <scheme val="minor"/>
    </font>
    <font>
      <sz val="10"/>
      <color theme="0" tint="-0.249977111117893"/>
      <name val="Calibri"/>
      <family val="2"/>
      <scheme val="minor"/>
    </font>
    <font>
      <sz val="10"/>
      <color rgb="FFFF0000"/>
      <name val="Calibri"/>
      <family val="2"/>
      <scheme val="minor"/>
    </font>
    <font>
      <u/>
      <sz val="10"/>
      <color theme="0" tint="-0.499984740745262"/>
      <name val="Calibri"/>
      <family val="2"/>
      <scheme val="minor"/>
    </font>
    <font>
      <sz val="10"/>
      <color theme="0" tint="-0.499984740745262"/>
      <name val="Calibri"/>
      <family val="2"/>
      <scheme val="minor"/>
    </font>
    <font>
      <u/>
      <sz val="10"/>
      <color theme="0" tint="-0.249977111117893"/>
      <name val="Calibri"/>
      <family val="2"/>
      <scheme val="minor"/>
    </font>
    <font>
      <u/>
      <sz val="10"/>
      <name val="Calibri"/>
      <family val="2"/>
      <scheme val="minor"/>
    </font>
    <font>
      <sz val="10"/>
      <color theme="0" tint="-4.9989318521683403E-2"/>
      <name val="Calibri"/>
      <family val="2"/>
      <scheme val="minor"/>
    </font>
    <font>
      <b/>
      <sz val="12"/>
      <color theme="1"/>
      <name val="Calibri"/>
      <family val="2"/>
      <scheme val="minor"/>
    </font>
    <font>
      <b/>
      <i/>
      <sz val="10"/>
      <color theme="1"/>
      <name val="Calibri"/>
      <family val="2"/>
      <scheme val="minor"/>
    </font>
    <font>
      <i/>
      <sz val="10"/>
      <color theme="0" tint="-0.249977111117893"/>
      <name val="Calibri"/>
      <family val="2"/>
      <scheme val="minor"/>
    </font>
    <font>
      <b/>
      <u/>
      <sz val="10"/>
      <color theme="1"/>
      <name val="Calibri"/>
      <family val="2"/>
      <scheme val="minor"/>
    </font>
    <font>
      <sz val="10"/>
      <color rgb="FF00B050"/>
      <name val="Calibri"/>
      <family val="2"/>
      <scheme val="minor"/>
    </font>
    <font>
      <b/>
      <sz val="10"/>
      <color rgb="FF002A5F"/>
      <name val="Calibri"/>
      <family val="2"/>
      <scheme val="minor"/>
    </font>
    <font>
      <sz val="9"/>
      <color theme="1"/>
      <name val="Calibri"/>
      <family val="2"/>
      <scheme val="minor"/>
    </font>
    <font>
      <sz val="10"/>
      <color rgb="FF002A5F"/>
      <name val="Calibri"/>
      <family val="2"/>
      <scheme val="minor"/>
    </font>
    <font>
      <i/>
      <sz val="10"/>
      <color rgb="FF002A5F"/>
      <name val="Calibri"/>
      <family val="2"/>
      <scheme val="minor"/>
    </font>
    <font>
      <sz val="8"/>
      <color rgb="FF002A5F"/>
      <name val="Calibri"/>
      <family val="2"/>
      <scheme val="minor"/>
    </font>
    <font>
      <i/>
      <sz val="9"/>
      <color theme="1"/>
      <name val="Calibri"/>
      <family val="2"/>
      <scheme val="minor"/>
    </font>
    <font>
      <sz val="10"/>
      <color theme="4" tint="0.59999389629810485"/>
      <name val="Calibri"/>
      <family val="2"/>
      <scheme val="minor"/>
    </font>
    <font>
      <b/>
      <sz val="11"/>
      <color theme="1"/>
      <name val="Calibri"/>
      <family val="2"/>
      <scheme val="minor"/>
    </font>
    <font>
      <b/>
      <sz val="9"/>
      <name val="Calibri"/>
      <family val="2"/>
      <scheme val="minor"/>
    </font>
    <font>
      <sz val="10"/>
      <name val="Calibri"/>
      <family val="2"/>
      <scheme val="minor"/>
    </font>
    <font>
      <sz val="11"/>
      <name val="Calibri"/>
      <family val="2"/>
      <scheme val="minor"/>
    </font>
    <font>
      <i/>
      <sz val="8"/>
      <color rgb="FF002A5F"/>
      <name val="Calibri"/>
      <family val="2"/>
      <scheme val="minor"/>
    </font>
    <font>
      <sz val="10"/>
      <color theme="4" tint="0.79998168889431442"/>
      <name val="Calibri"/>
      <family val="2"/>
      <scheme val="minor"/>
    </font>
    <font>
      <i/>
      <sz val="10"/>
      <color rgb="FFFF0000"/>
      <name val="Calibri"/>
      <family val="2"/>
      <scheme val="minor"/>
    </font>
    <font>
      <sz val="10"/>
      <color rgb="FF000000"/>
      <name val="Arial"/>
      <family val="2"/>
    </font>
    <font>
      <sz val="9"/>
      <color rgb="FF333333"/>
      <name val="Calibri"/>
      <family val="2"/>
      <scheme val="minor"/>
    </font>
    <font>
      <b/>
      <sz val="9"/>
      <color rgb="FF333333"/>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1F3F6"/>
        <bgColor indexed="64"/>
      </patternFill>
    </fill>
    <fill>
      <patternFill patternType="solid">
        <fgColor theme="0"/>
        <bgColor indexed="64"/>
      </patternFill>
    </fill>
    <fill>
      <patternFill patternType="solid">
        <fgColor theme="9" tint="-0.249977111117893"/>
        <bgColor indexed="64"/>
      </patternFill>
    </fill>
    <fill>
      <patternFill patternType="solid">
        <fgColor theme="7"/>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1F1F1"/>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rgb="FFF7F7F7"/>
        <bgColor rgb="FFFFFFFF"/>
      </patternFill>
    </fill>
    <fill>
      <patternFill patternType="solid">
        <fgColor rgb="FFFFFFFF"/>
        <bgColor rgb="FFFFFFFF"/>
      </patternFill>
    </fill>
    <fill>
      <patternFill patternType="solid">
        <fgColor theme="0" tint="-0.14999847407452621"/>
        <bgColor indexed="64"/>
      </patternFill>
    </fill>
  </fills>
  <borders count="1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rgb="FF99ABBF"/>
      </bottom>
      <diagonal/>
    </border>
    <border>
      <left style="medium">
        <color rgb="FF99ABBF"/>
      </left>
      <right/>
      <top/>
      <bottom style="medium">
        <color rgb="FF99ABBF"/>
      </bottom>
      <diagonal/>
    </border>
    <border>
      <left style="medium">
        <color rgb="FF99ABBF"/>
      </left>
      <right/>
      <top/>
      <bottom/>
      <diagonal/>
    </border>
    <border>
      <left style="medium">
        <color rgb="FF99ABBF"/>
      </left>
      <right/>
      <top style="medium">
        <color rgb="FF99ABBF"/>
      </top>
      <bottom/>
      <diagonal/>
    </border>
    <border>
      <left style="medium">
        <color rgb="FF99ABBF"/>
      </left>
      <right style="medium">
        <color rgb="FF99ABBF"/>
      </right>
      <top/>
      <bottom style="medium">
        <color rgb="FF99ABBF"/>
      </bottom>
      <diagonal/>
    </border>
    <border>
      <left style="medium">
        <color rgb="FF99ABBF"/>
      </left>
      <right style="medium">
        <color rgb="FF99ABBF"/>
      </right>
      <top style="medium">
        <color rgb="FF99ABBF"/>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left>
      <right/>
      <top/>
      <bottom/>
      <diagonal/>
    </border>
    <border>
      <left/>
      <right style="thin">
        <color theme="1"/>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bottom style="thin">
        <color theme="1"/>
      </bottom>
      <diagonal/>
    </border>
    <border>
      <left/>
      <right style="medium">
        <color theme="1"/>
      </right>
      <top style="thin">
        <color theme="1"/>
      </top>
      <bottom style="thin">
        <color theme="1"/>
      </bottom>
      <diagonal/>
    </border>
    <border>
      <left style="medium">
        <color theme="1"/>
      </left>
      <right style="thin">
        <color theme="1"/>
      </right>
      <top/>
      <bottom/>
      <diagonal/>
    </border>
    <border>
      <left/>
      <right style="medium">
        <color theme="1"/>
      </right>
      <top/>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style="thin">
        <color indexed="64"/>
      </bottom>
      <diagonal/>
    </border>
    <border>
      <left style="medium">
        <color theme="1"/>
      </left>
      <right/>
      <top/>
      <bottom/>
      <diagonal/>
    </border>
    <border>
      <left style="medium">
        <color theme="1"/>
      </left>
      <right/>
      <top/>
      <bottom style="thin">
        <color indexed="64"/>
      </bottom>
      <diagonal/>
    </border>
    <border>
      <left style="medium">
        <color theme="1"/>
      </left>
      <right/>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style="thin">
        <color auto="1"/>
      </top>
      <bottom/>
      <diagonal/>
    </border>
    <border>
      <left style="medium">
        <color indexed="64"/>
      </left>
      <right/>
      <top style="thin">
        <color auto="1"/>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rgb="FFD0D9E1"/>
      </top>
      <bottom/>
      <diagonal/>
    </border>
    <border>
      <left style="thin">
        <color indexed="64"/>
      </left>
      <right style="thin">
        <color indexed="64"/>
      </right>
      <top/>
      <bottom style="medium">
        <color rgb="FFD0D9E1"/>
      </bottom>
      <diagonal/>
    </border>
    <border>
      <left/>
      <right style="thin">
        <color indexed="64"/>
      </right>
      <top style="medium">
        <color rgb="FFD0D9E1"/>
      </top>
      <bottom/>
      <diagonal/>
    </border>
    <border>
      <left/>
      <right style="thin">
        <color indexed="64"/>
      </right>
      <top/>
      <bottom style="medium">
        <color rgb="FFD0D9E1"/>
      </bottom>
      <diagonal/>
    </border>
    <border>
      <left style="thin">
        <color indexed="64"/>
      </left>
      <right/>
      <top style="medium">
        <color rgb="FFD0D9E1"/>
      </top>
      <bottom/>
      <diagonal/>
    </border>
    <border>
      <left style="thin">
        <color indexed="64"/>
      </left>
      <right/>
      <top/>
      <bottom style="medium">
        <color rgb="FFD0D9E1"/>
      </bottom>
      <diagonal/>
    </border>
    <border>
      <left style="thin">
        <color theme="0" tint="-0.14990691854609822"/>
      </left>
      <right/>
      <top style="thin">
        <color theme="0" tint="-0.14990691854609822"/>
      </top>
      <bottom/>
      <diagonal/>
    </border>
    <border>
      <left/>
      <right/>
      <top style="thin">
        <color theme="0" tint="-0.14990691854609822"/>
      </top>
      <bottom/>
      <diagonal/>
    </border>
    <border>
      <left/>
      <right style="thin">
        <color theme="0" tint="-0.14990691854609822"/>
      </right>
      <top style="thin">
        <color theme="0" tint="-0.14990691854609822"/>
      </top>
      <bottom/>
      <diagonal/>
    </border>
    <border>
      <left style="thin">
        <color theme="0" tint="-0.14990691854609822"/>
      </left>
      <right/>
      <top/>
      <bottom/>
      <diagonal/>
    </border>
    <border>
      <left/>
      <right style="thin">
        <color theme="0" tint="-0.14990691854609822"/>
      </right>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right style="thin">
        <color rgb="FFDDDDDD"/>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bottom style="thin">
        <color rgb="FFDDDDDD"/>
      </bottom>
      <diagonal/>
    </border>
    <border>
      <left style="thin">
        <color rgb="FFDDDDDD"/>
      </left>
      <right style="thin">
        <color rgb="FFDDDDDD"/>
      </right>
      <top/>
      <bottom style="thin">
        <color rgb="FFDDDDDD"/>
      </bottom>
      <diagonal/>
    </border>
    <border>
      <left style="thin">
        <color rgb="FFDDDDDD"/>
      </left>
      <right/>
      <top/>
      <bottom style="thin">
        <color rgb="FFDDDDDD"/>
      </bottom>
      <diagonal/>
    </border>
    <border>
      <left/>
      <right style="thin">
        <color rgb="FFDDDDDD"/>
      </right>
      <top style="thin">
        <color rgb="FFDDDDDD"/>
      </top>
      <bottom/>
      <diagonal/>
    </border>
    <border>
      <left style="thin">
        <color rgb="FFDDDDDD"/>
      </left>
      <right style="thin">
        <color rgb="FFDDDDDD"/>
      </right>
      <top style="thin">
        <color rgb="FFDDDDDD"/>
      </top>
      <bottom/>
      <diagonal/>
    </border>
    <border>
      <left style="thin">
        <color rgb="FFDDDDDD"/>
      </left>
      <right/>
      <top style="thin">
        <color rgb="FFDDDDDD"/>
      </top>
      <bottom/>
      <diagonal/>
    </border>
    <border>
      <left style="thin">
        <color theme="0" tint="-0.24994659260841701"/>
      </left>
      <right/>
      <top/>
      <bottom/>
      <diagonal/>
    </border>
    <border>
      <left/>
      <right style="thin">
        <color theme="0" tint="-0.24994659260841701"/>
      </right>
      <top/>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10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7" fillId="0" borderId="0" applyNumberFormat="0" applyFill="0" applyBorder="0" applyAlignment="0" applyProtection="0"/>
    <xf numFmtId="0" fontId="55" fillId="0" borderId="0"/>
  </cellStyleXfs>
  <cellXfs count="397">
    <xf numFmtId="0" fontId="0" fillId="0" borderId="0" xfId="0"/>
    <xf numFmtId="0" fontId="18" fillId="0" borderId="0" xfId="0" applyFont="1"/>
    <xf numFmtId="164" fontId="18" fillId="0" borderId="0" xfId="0" applyNumberFormat="1" applyFont="1"/>
    <xf numFmtId="3" fontId="18" fillId="0" borderId="0" xfId="0" applyNumberFormat="1" applyFont="1"/>
    <xf numFmtId="0" fontId="18" fillId="0" borderId="0" xfId="0" applyFont="1" applyAlignment="1">
      <alignment wrapText="1"/>
    </xf>
    <xf numFmtId="0" fontId="18" fillId="33" borderId="11" xfId="0" applyFont="1" applyFill="1" applyBorder="1"/>
    <xf numFmtId="0" fontId="18" fillId="33" borderId="13" xfId="0" applyFont="1" applyFill="1" applyBorder="1"/>
    <xf numFmtId="0" fontId="18" fillId="33" borderId="14" xfId="0" applyFont="1" applyFill="1" applyBorder="1"/>
    <xf numFmtId="0" fontId="18" fillId="33" borderId="17" xfId="0" applyFont="1" applyFill="1" applyBorder="1"/>
    <xf numFmtId="0" fontId="18" fillId="34" borderId="18" xfId="0" applyFont="1" applyFill="1" applyBorder="1" applyAlignment="1">
      <alignment horizontal="center"/>
    </xf>
    <xf numFmtId="0" fontId="18" fillId="0" borderId="19" xfId="0" applyFont="1" applyBorder="1"/>
    <xf numFmtId="0" fontId="18" fillId="0" borderId="21" xfId="0" applyFont="1" applyBorder="1"/>
    <xf numFmtId="0" fontId="18" fillId="0" borderId="20" xfId="0" applyFont="1" applyBorder="1" applyAlignment="1">
      <alignment horizontal="center"/>
    </xf>
    <xf numFmtId="0" fontId="18" fillId="0" borderId="23" xfId="0" applyFont="1" applyBorder="1" applyAlignment="1">
      <alignment horizontal="center"/>
    </xf>
    <xf numFmtId="0" fontId="18" fillId="0" borderId="24" xfId="0" applyFont="1" applyBorder="1"/>
    <xf numFmtId="0" fontId="18" fillId="0" borderId="25" xfId="0" applyFont="1" applyBorder="1"/>
    <xf numFmtId="0" fontId="18" fillId="34" borderId="10" xfId="0" applyFont="1" applyFill="1" applyBorder="1" applyAlignment="1">
      <alignment horizontal="center"/>
    </xf>
    <xf numFmtId="0" fontId="18" fillId="0" borderId="12" xfId="0" applyFont="1" applyBorder="1" applyAlignment="1">
      <alignment horizontal="center"/>
    </xf>
    <xf numFmtId="0" fontId="18" fillId="0" borderId="22" xfId="0" applyFont="1" applyBorder="1" applyAlignment="1">
      <alignment horizontal="center"/>
    </xf>
    <xf numFmtId="0" fontId="19" fillId="0" borderId="0" xfId="0" applyFont="1"/>
    <xf numFmtId="0" fontId="20" fillId="0" borderId="0" xfId="0" applyFont="1"/>
    <xf numFmtId="0" fontId="18" fillId="0" borderId="0" xfId="0" applyFont="1" applyAlignment="1">
      <alignment horizontal="center" wrapText="1"/>
    </xf>
    <xf numFmtId="0" fontId="18" fillId="0" borderId="28" xfId="0" applyFont="1" applyBorder="1" applyAlignment="1">
      <alignment horizontal="left" vertical="top" wrapText="1"/>
    </xf>
    <xf numFmtId="0" fontId="18" fillId="0" borderId="0" xfId="0" applyFont="1" applyAlignment="1">
      <alignment horizontal="left" vertical="top" wrapText="1"/>
    </xf>
    <xf numFmtId="0" fontId="18" fillId="0" borderId="28" xfId="0" applyFont="1" applyBorder="1" applyAlignment="1">
      <alignment vertical="top" wrapText="1"/>
    </xf>
    <xf numFmtId="0" fontId="18" fillId="0" borderId="0" xfId="0" applyFont="1" applyAlignment="1">
      <alignment vertical="top" wrapText="1"/>
    </xf>
    <xf numFmtId="0" fontId="22" fillId="0" borderId="0" xfId="0" applyFont="1" applyAlignment="1">
      <alignment horizontal="left" vertical="center" wrapText="1"/>
    </xf>
    <xf numFmtId="0" fontId="18" fillId="35" borderId="0" xfId="0" applyFont="1" applyFill="1" applyAlignment="1">
      <alignment horizontal="left" vertical="center" wrapText="1"/>
    </xf>
    <xf numFmtId="0" fontId="18" fillId="0" borderId="0" xfId="0" applyFont="1" applyAlignment="1">
      <alignment horizontal="left" vertical="center" wrapText="1"/>
    </xf>
    <xf numFmtId="0" fontId="22" fillId="35" borderId="0" xfId="0" applyFont="1" applyFill="1" applyAlignment="1">
      <alignment horizontal="left" vertical="center" wrapText="1"/>
    </xf>
    <xf numFmtId="0" fontId="18" fillId="35" borderId="0" xfId="0" applyFont="1" applyFill="1" applyAlignment="1">
      <alignment horizontal="left" vertical="top" wrapText="1"/>
    </xf>
    <xf numFmtId="0" fontId="18" fillId="35" borderId="0" xfId="0" applyFont="1" applyFill="1" applyAlignment="1">
      <alignment horizontal="center" vertical="center" wrapText="1"/>
    </xf>
    <xf numFmtId="0" fontId="18" fillId="0" borderId="0" xfId="0" applyFont="1" applyAlignment="1">
      <alignment horizontal="center" vertical="top" wrapText="1"/>
    </xf>
    <xf numFmtId="0" fontId="18" fillId="35" borderId="0" xfId="0" applyFont="1" applyFill="1" applyAlignment="1">
      <alignment horizontal="center" vertical="top" wrapText="1"/>
    </xf>
    <xf numFmtId="0" fontId="18" fillId="0" borderId="0" xfId="0" applyFont="1" applyAlignment="1">
      <alignment horizontal="center"/>
    </xf>
    <xf numFmtId="164" fontId="18" fillId="0" borderId="0" xfId="0" applyNumberFormat="1" applyFont="1" applyAlignment="1">
      <alignment horizontal="center"/>
    </xf>
    <xf numFmtId="164" fontId="18" fillId="36" borderId="0" xfId="0" applyNumberFormat="1" applyFont="1" applyFill="1" applyAlignment="1">
      <alignment horizontal="center"/>
    </xf>
    <xf numFmtId="0" fontId="18" fillId="36" borderId="0" xfId="0" applyFont="1" applyFill="1" applyAlignment="1">
      <alignment horizontal="center" wrapText="1"/>
    </xf>
    <xf numFmtId="0" fontId="18" fillId="37" borderId="0" xfId="0" applyFont="1" applyFill="1" applyAlignment="1">
      <alignment horizontal="center" wrapText="1"/>
    </xf>
    <xf numFmtId="0" fontId="24" fillId="40" borderId="0" xfId="0" applyFont="1" applyFill="1" applyAlignment="1">
      <alignment horizontal="center"/>
    </xf>
    <xf numFmtId="0" fontId="28" fillId="0" borderId="0" xfId="42" applyFont="1"/>
    <xf numFmtId="0" fontId="23" fillId="0" borderId="27" xfId="43" applyFont="1" applyBorder="1" applyAlignment="1">
      <alignment vertical="top" wrapText="1"/>
    </xf>
    <xf numFmtId="0" fontId="23" fillId="0" borderId="26" xfId="43" applyFont="1" applyBorder="1" applyAlignment="1">
      <alignment vertical="top" wrapText="1"/>
    </xf>
    <xf numFmtId="0" fontId="23" fillId="35" borderId="26" xfId="43" applyFont="1" applyFill="1" applyBorder="1" applyAlignment="1">
      <alignment horizontal="left" vertical="top" wrapText="1"/>
    </xf>
    <xf numFmtId="0" fontId="23" fillId="35" borderId="27" xfId="43" applyFont="1" applyFill="1" applyBorder="1" applyAlignment="1">
      <alignment horizontal="left" vertical="top" wrapText="1"/>
    </xf>
    <xf numFmtId="0" fontId="22" fillId="0" borderId="27" xfId="43" applyFont="1" applyBorder="1" applyAlignment="1">
      <alignment horizontal="left" vertical="center" wrapText="1"/>
    </xf>
    <xf numFmtId="0" fontId="23" fillId="0" borderId="27" xfId="43" applyFont="1" applyBorder="1" applyAlignment="1">
      <alignment horizontal="left" vertical="top" wrapText="1"/>
    </xf>
    <xf numFmtId="0" fontId="29" fillId="35" borderId="27" xfId="43" applyFont="1" applyFill="1" applyBorder="1" applyAlignment="1">
      <alignment horizontal="left" vertical="center" wrapText="1"/>
    </xf>
    <xf numFmtId="0" fontId="29" fillId="35" borderId="30" xfId="43" applyFont="1" applyFill="1" applyBorder="1" applyAlignment="1">
      <alignment horizontal="left" vertical="center" wrapText="1"/>
    </xf>
    <xf numFmtId="0" fontId="29" fillId="0" borderId="27" xfId="43" applyFont="1" applyBorder="1" applyAlignment="1">
      <alignment horizontal="left" vertical="center" wrapText="1"/>
    </xf>
    <xf numFmtId="0" fontId="29" fillId="0" borderId="30" xfId="43" applyFont="1" applyBorder="1" applyAlignment="1">
      <alignment horizontal="left" vertical="center" wrapText="1"/>
    </xf>
    <xf numFmtId="0" fontId="28" fillId="35" borderId="27" xfId="102" applyFont="1" applyFill="1" applyBorder="1" applyAlignment="1">
      <alignment horizontal="left" vertical="center" wrapText="1"/>
    </xf>
    <xf numFmtId="0" fontId="23" fillId="35" borderId="27" xfId="43" applyFont="1" applyFill="1" applyBorder="1" applyAlignment="1">
      <alignment horizontal="left" vertical="center" wrapText="1"/>
    </xf>
    <xf numFmtId="0" fontId="23" fillId="35" borderId="30" xfId="43" applyFont="1" applyFill="1" applyBorder="1" applyAlignment="1">
      <alignment horizontal="left" vertical="center" wrapText="1"/>
    </xf>
    <xf numFmtId="0" fontId="28" fillId="0" borderId="27" xfId="102" applyFont="1" applyBorder="1" applyAlignment="1">
      <alignment horizontal="left" vertical="center" wrapText="1"/>
    </xf>
    <xf numFmtId="0" fontId="23" fillId="0" borderId="27" xfId="43" applyFont="1" applyBorder="1" applyAlignment="1">
      <alignment horizontal="left" vertical="center" wrapText="1"/>
    </xf>
    <xf numFmtId="0" fontId="23" fillId="0" borderId="30" xfId="43" applyFont="1" applyBorder="1" applyAlignment="1">
      <alignment horizontal="left" vertical="center" wrapText="1"/>
    </xf>
    <xf numFmtId="0" fontId="30" fillId="35" borderId="27" xfId="43" applyFont="1" applyFill="1" applyBorder="1" applyAlignment="1">
      <alignment horizontal="left" vertical="center" wrapText="1"/>
    </xf>
    <xf numFmtId="0" fontId="31" fillId="35" borderId="27" xfId="102" applyFont="1" applyFill="1" applyBorder="1" applyAlignment="1">
      <alignment horizontal="left" vertical="center" wrapText="1"/>
    </xf>
    <xf numFmtId="0" fontId="32" fillId="35" borderId="27" xfId="43" applyFont="1" applyFill="1" applyBorder="1" applyAlignment="1">
      <alignment horizontal="left" vertical="center" wrapText="1"/>
    </xf>
    <xf numFmtId="0" fontId="32" fillId="35" borderId="30" xfId="43" applyFont="1" applyFill="1" applyBorder="1" applyAlignment="1">
      <alignment horizontal="left" vertical="center" wrapText="1"/>
    </xf>
    <xf numFmtId="0" fontId="31" fillId="0" borderId="27" xfId="102" applyFont="1" applyBorder="1" applyAlignment="1">
      <alignment horizontal="left" vertical="center" wrapText="1"/>
    </xf>
    <xf numFmtId="0" fontId="32" fillId="0" borderId="27" xfId="43" applyFont="1" applyBorder="1" applyAlignment="1">
      <alignment horizontal="left" vertical="center" wrapText="1"/>
    </xf>
    <xf numFmtId="0" fontId="32" fillId="0" borderId="30" xfId="43" applyFont="1" applyBorder="1" applyAlignment="1">
      <alignment horizontal="left" vertical="center" wrapText="1"/>
    </xf>
    <xf numFmtId="2" fontId="23" fillId="35" borderId="27" xfId="43" applyNumberFormat="1" applyFont="1" applyFill="1" applyBorder="1" applyAlignment="1">
      <alignment horizontal="left" vertical="center" wrapText="1"/>
    </xf>
    <xf numFmtId="0" fontId="23" fillId="0" borderId="30" xfId="43" applyFont="1" applyBorder="1" applyAlignment="1">
      <alignment horizontal="left" vertical="top" wrapText="1"/>
    </xf>
    <xf numFmtId="0" fontId="23" fillId="38" borderId="27" xfId="43" applyFont="1" applyFill="1" applyBorder="1" applyAlignment="1">
      <alignment horizontal="left" vertical="center" wrapText="1"/>
    </xf>
    <xf numFmtId="2" fontId="23" fillId="0" borderId="27" xfId="43" applyNumberFormat="1" applyFont="1" applyBorder="1" applyAlignment="1">
      <alignment horizontal="left" vertical="center" wrapText="1"/>
    </xf>
    <xf numFmtId="0" fontId="33" fillId="35" borderId="27" xfId="102" applyFont="1" applyFill="1" applyBorder="1" applyAlignment="1">
      <alignment horizontal="left" vertical="center" wrapText="1"/>
    </xf>
    <xf numFmtId="0" fontId="28" fillId="35" borderId="27" xfId="102" applyFont="1" applyFill="1" applyBorder="1" applyAlignment="1">
      <alignment horizontal="left" vertical="top" wrapText="1"/>
    </xf>
    <xf numFmtId="0" fontId="31" fillId="0" borderId="27" xfId="102" applyFont="1" applyBorder="1" applyAlignment="1">
      <alignment horizontal="left" vertical="top" wrapText="1"/>
    </xf>
    <xf numFmtId="0" fontId="31" fillId="35" borderId="27" xfId="102" applyFont="1" applyFill="1" applyBorder="1" applyAlignment="1">
      <alignment horizontal="left" vertical="top" wrapText="1"/>
    </xf>
    <xf numFmtId="0" fontId="31" fillId="0" borderId="27" xfId="102" applyFont="1" applyFill="1" applyBorder="1" applyAlignment="1">
      <alignment horizontal="left" vertical="center" wrapText="1"/>
    </xf>
    <xf numFmtId="0" fontId="22" fillId="35" borderId="27" xfId="43" applyFont="1" applyFill="1" applyBorder="1" applyAlignment="1">
      <alignment horizontal="left" vertical="center" wrapText="1"/>
    </xf>
    <xf numFmtId="0" fontId="23" fillId="35" borderId="30" xfId="43" applyFont="1" applyFill="1" applyBorder="1" applyAlignment="1">
      <alignment horizontal="left" vertical="top" wrapText="1"/>
    </xf>
    <xf numFmtId="0" fontId="23" fillId="0" borderId="28" xfId="43" applyFont="1" applyBorder="1" applyAlignment="1">
      <alignment horizontal="left" vertical="center" wrapText="1"/>
    </xf>
    <xf numFmtId="0" fontId="23" fillId="0" borderId="31" xfId="43" applyFont="1" applyBorder="1" applyAlignment="1">
      <alignment horizontal="left" vertical="center" wrapText="1"/>
    </xf>
    <xf numFmtId="0" fontId="31" fillId="35" borderId="28" xfId="102" applyFont="1" applyFill="1" applyBorder="1" applyAlignment="1">
      <alignment horizontal="left" vertical="center" wrapText="1"/>
    </xf>
    <xf numFmtId="0" fontId="32" fillId="35" borderId="30" xfId="43" applyFont="1" applyFill="1" applyBorder="1" applyAlignment="1">
      <alignment horizontal="center" vertical="center" wrapText="1"/>
    </xf>
    <xf numFmtId="0" fontId="34" fillId="39" borderId="10" xfId="102" applyFont="1" applyFill="1" applyBorder="1" applyAlignment="1">
      <alignment horizontal="left" vertical="center" wrapText="1"/>
    </xf>
    <xf numFmtId="0" fontId="23" fillId="39" borderId="26" xfId="43" applyFont="1" applyFill="1" applyBorder="1" applyAlignment="1">
      <alignment horizontal="left" vertical="center" wrapText="1"/>
    </xf>
    <xf numFmtId="0" fontId="23" fillId="39" borderId="30" xfId="43" applyFont="1" applyFill="1" applyBorder="1" applyAlignment="1">
      <alignment horizontal="left" vertical="center" wrapText="1"/>
    </xf>
    <xf numFmtId="0" fontId="23" fillId="39" borderId="27" xfId="43" applyFont="1" applyFill="1" applyBorder="1" applyAlignment="1">
      <alignment horizontal="left" vertical="center" wrapText="1"/>
    </xf>
    <xf numFmtId="0" fontId="28" fillId="39" borderId="27" xfId="102" applyFont="1" applyFill="1" applyBorder="1" applyAlignment="1">
      <alignment horizontal="left" vertical="center" wrapText="1"/>
    </xf>
    <xf numFmtId="0" fontId="18" fillId="39" borderId="10" xfId="43" applyFont="1" applyFill="1" applyBorder="1" applyAlignment="1">
      <alignment vertical="center"/>
    </xf>
    <xf numFmtId="0" fontId="18" fillId="39" borderId="0" xfId="43" applyFont="1" applyFill="1" applyAlignment="1">
      <alignment vertical="center"/>
    </xf>
    <xf numFmtId="0" fontId="18" fillId="0" borderId="0" xfId="0" applyFont="1" applyAlignment="1">
      <alignment horizontal="left" indent="1"/>
    </xf>
    <xf numFmtId="0" fontId="18" fillId="41" borderId="0" xfId="0" applyFont="1" applyFill="1" applyAlignment="1">
      <alignment horizontal="center" wrapText="1"/>
    </xf>
    <xf numFmtId="0" fontId="18" fillId="41" borderId="0" xfId="0" applyFont="1" applyFill="1" applyAlignment="1">
      <alignment horizontal="left" wrapText="1"/>
    </xf>
    <xf numFmtId="0" fontId="35" fillId="0" borderId="0" xfId="0" applyFont="1"/>
    <xf numFmtId="167" fontId="18" fillId="0" borderId="0" xfId="0" applyNumberFormat="1" applyFont="1"/>
    <xf numFmtId="3" fontId="18" fillId="0" borderId="0" xfId="0" applyNumberFormat="1" applyFont="1" applyAlignment="1">
      <alignment horizontal="right" indent="3"/>
    </xf>
    <xf numFmtId="0" fontId="18" fillId="0" borderId="0" xfId="0" applyFont="1" applyAlignment="1">
      <alignment horizontal="right" indent="3"/>
    </xf>
    <xf numFmtId="0" fontId="18" fillId="0" borderId="32" xfId="0" applyFont="1" applyBorder="1"/>
    <xf numFmtId="0" fontId="18" fillId="34" borderId="15" xfId="0" applyFont="1" applyFill="1" applyBorder="1"/>
    <xf numFmtId="0" fontId="18" fillId="34" borderId="16" xfId="0" applyFont="1" applyFill="1" applyBorder="1"/>
    <xf numFmtId="0" fontId="18" fillId="0" borderId="34" xfId="0" applyFont="1" applyBorder="1"/>
    <xf numFmtId="166" fontId="18" fillId="0" borderId="0" xfId="0" applyNumberFormat="1" applyFont="1"/>
    <xf numFmtId="0" fontId="20" fillId="0" borderId="20" xfId="0" applyFont="1" applyBorder="1" applyAlignment="1">
      <alignment horizontal="left" indent="1"/>
    </xf>
    <xf numFmtId="0" fontId="18" fillId="0" borderId="35" xfId="0" applyFont="1" applyBorder="1"/>
    <xf numFmtId="0" fontId="20" fillId="0" borderId="36" xfId="0" applyFont="1" applyBorder="1" applyAlignment="1">
      <alignment horizontal="left" indent="1"/>
    </xf>
    <xf numFmtId="0" fontId="19" fillId="0" borderId="37" xfId="0" applyFont="1" applyBorder="1"/>
    <xf numFmtId="0" fontId="19" fillId="0" borderId="38" xfId="0" applyFont="1" applyBorder="1"/>
    <xf numFmtId="0" fontId="37" fillId="0" borderId="23" xfId="0" applyFont="1" applyBorder="1" applyAlignment="1">
      <alignment horizontal="left" indent="1"/>
    </xf>
    <xf numFmtId="0" fontId="19" fillId="34" borderId="33" xfId="0" applyFont="1" applyFill="1" applyBorder="1"/>
    <xf numFmtId="0" fontId="38" fillId="0" borderId="0" xfId="0" applyFont="1"/>
    <xf numFmtId="0" fontId="18" fillId="42" borderId="0" xfId="0" applyFont="1" applyFill="1" applyAlignment="1">
      <alignment horizontal="center" wrapText="1"/>
    </xf>
    <xf numFmtId="0" fontId="18" fillId="37" borderId="42" xfId="0" applyFont="1" applyFill="1" applyBorder="1" applyAlignment="1">
      <alignment horizontal="center" wrapText="1"/>
    </xf>
    <xf numFmtId="0" fontId="18" fillId="37" borderId="43" xfId="0" applyFont="1" applyFill="1" applyBorder="1" applyAlignment="1">
      <alignment horizontal="center" wrapText="1"/>
    </xf>
    <xf numFmtId="166" fontId="19" fillId="0" borderId="20" xfId="0" applyNumberFormat="1" applyFont="1" applyBorder="1" applyAlignment="1">
      <alignment horizontal="center"/>
    </xf>
    <xf numFmtId="166" fontId="19" fillId="0" borderId="23" xfId="0" applyNumberFormat="1" applyFont="1" applyBorder="1" applyAlignment="1">
      <alignment horizontal="center"/>
    </xf>
    <xf numFmtId="0" fontId="32" fillId="0" borderId="0" xfId="0" applyFont="1" applyAlignment="1">
      <alignment horizontal="center" wrapText="1"/>
    </xf>
    <xf numFmtId="0" fontId="18" fillId="0" borderId="10" xfId="0" applyFont="1" applyBorder="1" applyAlignment="1">
      <alignment horizontal="center"/>
    </xf>
    <xf numFmtId="0" fontId="18" fillId="34" borderId="10" xfId="0" applyFont="1" applyFill="1" applyBorder="1" applyAlignment="1">
      <alignment horizontal="center" wrapText="1"/>
    </xf>
    <xf numFmtId="0" fontId="18" fillId="34" borderId="18" xfId="0" applyFont="1" applyFill="1" applyBorder="1" applyAlignment="1">
      <alignment horizontal="center" wrapText="1"/>
    </xf>
    <xf numFmtId="3" fontId="18" fillId="0" borderId="0" xfId="0" applyNumberFormat="1" applyFont="1" applyAlignment="1">
      <alignment horizontal="center"/>
    </xf>
    <xf numFmtId="3" fontId="19" fillId="0" borderId="34" xfId="0" applyNumberFormat="1" applyFont="1" applyBorder="1" applyAlignment="1">
      <alignment horizontal="center"/>
    </xf>
    <xf numFmtId="3" fontId="19" fillId="0" borderId="37" xfId="0" applyNumberFormat="1" applyFont="1" applyBorder="1" applyAlignment="1">
      <alignment horizontal="center"/>
    </xf>
    <xf numFmtId="0" fontId="18" fillId="0" borderId="0" xfId="0" quotePrefix="1" applyFont="1"/>
    <xf numFmtId="0" fontId="18" fillId="0" borderId="44" xfId="0" applyFont="1" applyBorder="1"/>
    <xf numFmtId="0" fontId="18" fillId="0" borderId="12" xfId="0" applyFont="1" applyBorder="1"/>
    <xf numFmtId="0" fontId="18" fillId="0" borderId="45" xfId="0" applyFont="1" applyBorder="1"/>
    <xf numFmtId="0" fontId="19" fillId="33" borderId="10" xfId="0" applyFont="1" applyFill="1" applyBorder="1"/>
    <xf numFmtId="0" fontId="19" fillId="33" borderId="39" xfId="0" applyFont="1" applyFill="1" applyBorder="1" applyAlignment="1">
      <alignment horizontal="center" wrapText="1"/>
    </xf>
    <xf numFmtId="0" fontId="19" fillId="33" borderId="41" xfId="0" applyFont="1" applyFill="1" applyBorder="1" applyAlignment="1">
      <alignment horizontal="center" wrapText="1"/>
    </xf>
    <xf numFmtId="0" fontId="18" fillId="0" borderId="27" xfId="43" applyFont="1" applyBorder="1" applyAlignment="1">
      <alignment horizontal="left" vertical="top" wrapText="1"/>
    </xf>
    <xf numFmtId="0" fontId="18" fillId="35" borderId="27" xfId="43" applyFont="1" applyFill="1" applyBorder="1" applyAlignment="1">
      <alignment horizontal="left" vertical="center" wrapText="1"/>
    </xf>
    <xf numFmtId="0" fontId="18" fillId="0" borderId="27" xfId="43" applyFont="1" applyBorder="1" applyAlignment="1">
      <alignment horizontal="left" vertical="center" wrapText="1"/>
    </xf>
    <xf numFmtId="0" fontId="18" fillId="35" borderId="27" xfId="43" applyFont="1" applyFill="1" applyBorder="1" applyAlignment="1">
      <alignment horizontal="left" vertical="top" wrapText="1"/>
    </xf>
    <xf numFmtId="0" fontId="18" fillId="0" borderId="29" xfId="43" applyFont="1" applyBorder="1" applyAlignment="1">
      <alignment horizontal="left" vertical="center" wrapText="1"/>
    </xf>
    <xf numFmtId="0" fontId="18" fillId="35" borderId="27" xfId="43" applyFont="1" applyFill="1" applyBorder="1" applyAlignment="1">
      <alignment horizontal="center" vertical="center" wrapText="1"/>
    </xf>
    <xf numFmtId="0" fontId="18" fillId="39" borderId="27" xfId="43" applyFont="1" applyFill="1" applyBorder="1" applyAlignment="1">
      <alignment horizontal="left" vertical="center" wrapText="1"/>
    </xf>
    <xf numFmtId="0" fontId="41" fillId="43" borderId="54" xfId="0" applyFont="1" applyFill="1" applyBorder="1" applyAlignment="1">
      <alignment horizontal="left" vertical="center" wrapText="1"/>
    </xf>
    <xf numFmtId="0" fontId="41" fillId="43" borderId="55" xfId="0" applyFont="1" applyFill="1" applyBorder="1" applyAlignment="1">
      <alignment horizontal="left" vertical="center" wrapText="1"/>
    </xf>
    <xf numFmtId="0" fontId="42" fillId="43" borderId="52" xfId="0" applyFont="1" applyFill="1" applyBorder="1" applyAlignment="1">
      <alignment horizontal="left" vertical="center" wrapText="1"/>
    </xf>
    <xf numFmtId="0" fontId="43" fillId="0" borderId="52" xfId="0" applyFont="1" applyBorder="1" applyAlignment="1">
      <alignment horizontal="left" vertical="center" wrapText="1"/>
    </xf>
    <xf numFmtId="3" fontId="43" fillId="0" borderId="55" xfId="0" applyNumberFormat="1" applyFont="1" applyBorder="1" applyAlignment="1">
      <alignment horizontal="right" vertical="center" wrapText="1"/>
    </xf>
    <xf numFmtId="0" fontId="44" fillId="0" borderId="52" xfId="0" applyFont="1" applyBorder="1" applyAlignment="1">
      <alignment horizontal="left" vertical="center" wrapText="1" indent="3"/>
    </xf>
    <xf numFmtId="0" fontId="44" fillId="0" borderId="56" xfId="0" applyFont="1" applyBorder="1" applyAlignment="1">
      <alignment horizontal="right" vertical="center" wrapText="1" indent="2"/>
    </xf>
    <xf numFmtId="0" fontId="44" fillId="0" borderId="52" xfId="0" applyFont="1" applyBorder="1" applyAlignment="1">
      <alignment horizontal="right" vertical="center" wrapText="1" indent="1"/>
    </xf>
    <xf numFmtId="0" fontId="43" fillId="0" borderId="55" xfId="0" applyFont="1" applyBorder="1" applyAlignment="1">
      <alignment horizontal="right" vertical="center" wrapText="1"/>
    </xf>
    <xf numFmtId="0" fontId="44" fillId="0" borderId="52" xfId="0" applyFont="1" applyBorder="1" applyAlignment="1">
      <alignment horizontal="left" vertical="center" wrapText="1"/>
    </xf>
    <xf numFmtId="0" fontId="44" fillId="0" borderId="56" xfId="0" applyFont="1" applyBorder="1" applyAlignment="1">
      <alignment horizontal="right" vertical="center" wrapText="1"/>
    </xf>
    <xf numFmtId="0" fontId="44" fillId="0" borderId="52" xfId="0" applyFont="1" applyBorder="1" applyAlignment="1">
      <alignment horizontal="right" vertical="center" wrapText="1"/>
    </xf>
    <xf numFmtId="0" fontId="43" fillId="0" borderId="50" xfId="0" applyFont="1" applyBorder="1" applyAlignment="1">
      <alignment horizontal="left" vertical="center" wrapText="1"/>
    </xf>
    <xf numFmtId="3" fontId="43" fillId="0" borderId="53" xfId="0" applyNumberFormat="1" applyFont="1" applyBorder="1" applyAlignment="1">
      <alignment horizontal="left" vertical="center" indent="5"/>
    </xf>
    <xf numFmtId="3" fontId="43" fillId="0" borderId="53" xfId="0" applyNumberFormat="1" applyFont="1" applyBorder="1" applyAlignment="1">
      <alignment horizontal="right" vertical="center"/>
    </xf>
    <xf numFmtId="3" fontId="43" fillId="0" borderId="53" xfId="0" applyNumberFormat="1" applyFont="1" applyBorder="1" applyAlignment="1">
      <alignment vertical="center"/>
    </xf>
    <xf numFmtId="3" fontId="18" fillId="0" borderId="46" xfId="0" applyNumberFormat="1" applyFont="1" applyBorder="1"/>
    <xf numFmtId="3" fontId="18" fillId="0" borderId="24" xfId="0" applyNumberFormat="1" applyFont="1" applyBorder="1"/>
    <xf numFmtId="3" fontId="18" fillId="0" borderId="11" xfId="0" applyNumberFormat="1" applyFont="1" applyBorder="1"/>
    <xf numFmtId="3" fontId="18" fillId="0" borderId="47" xfId="0" applyNumberFormat="1" applyFont="1" applyBorder="1"/>
    <xf numFmtId="3" fontId="18" fillId="0" borderId="48" xfId="0" applyNumberFormat="1" applyFont="1" applyBorder="1"/>
    <xf numFmtId="3" fontId="18" fillId="0" borderId="49" xfId="0" applyNumberFormat="1" applyFont="1" applyBorder="1"/>
    <xf numFmtId="0" fontId="18" fillId="0" borderId="12" xfId="0" quotePrefix="1" applyFont="1" applyBorder="1"/>
    <xf numFmtId="0" fontId="46" fillId="0" borderId="12" xfId="0" quotePrefix="1" applyFont="1" applyBorder="1" applyAlignment="1">
      <alignment horizontal="left" indent="1"/>
    </xf>
    <xf numFmtId="3" fontId="46" fillId="0" borderId="24" xfId="0" applyNumberFormat="1" applyFont="1" applyBorder="1"/>
    <xf numFmtId="3" fontId="46" fillId="0" borderId="48" xfId="0" applyNumberFormat="1" applyFont="1" applyBorder="1"/>
    <xf numFmtId="0" fontId="18" fillId="44" borderId="0" xfId="0" applyFont="1" applyFill="1" applyAlignment="1">
      <alignment horizontal="center" wrapText="1"/>
    </xf>
    <xf numFmtId="0" fontId="18" fillId="45" borderId="0" xfId="0" applyFont="1" applyFill="1" applyAlignment="1">
      <alignment horizontal="center" wrapText="1"/>
    </xf>
    <xf numFmtId="1" fontId="18" fillId="0" borderId="0" xfId="0" applyNumberFormat="1" applyFont="1" applyAlignment="1">
      <alignment horizontal="right" indent="3"/>
    </xf>
    <xf numFmtId="0" fontId="19" fillId="0" borderId="10" xfId="0" applyFont="1" applyBorder="1"/>
    <xf numFmtId="0" fontId="19" fillId="0" borderId="39" xfId="0" applyFont="1" applyBorder="1"/>
    <xf numFmtId="3" fontId="19" fillId="0" borderId="41" xfId="0" applyNumberFormat="1" applyFont="1" applyBorder="1"/>
    <xf numFmtId="0" fontId="18" fillId="34" borderId="59" xfId="0" applyFont="1" applyFill="1" applyBorder="1"/>
    <xf numFmtId="8" fontId="18" fillId="34" borderId="0" xfId="0" applyNumberFormat="1" applyFont="1" applyFill="1"/>
    <xf numFmtId="0" fontId="18" fillId="34" borderId="0" xfId="0" applyFont="1" applyFill="1"/>
    <xf numFmtId="0" fontId="18" fillId="34" borderId="60" xfId="0" applyFont="1" applyFill="1" applyBorder="1"/>
    <xf numFmtId="168" fontId="18" fillId="34" borderId="0" xfId="0" applyNumberFormat="1" applyFont="1" applyFill="1"/>
    <xf numFmtId="0" fontId="18" fillId="34" borderId="61" xfId="0" applyFont="1" applyFill="1" applyBorder="1"/>
    <xf numFmtId="0" fontId="18" fillId="34" borderId="62" xfId="0" applyFont="1" applyFill="1" applyBorder="1"/>
    <xf numFmtId="9" fontId="18" fillId="34" borderId="62" xfId="0" applyNumberFormat="1" applyFont="1" applyFill="1" applyBorder="1"/>
    <xf numFmtId="0" fontId="18" fillId="34" borderId="63" xfId="0" applyFont="1" applyFill="1" applyBorder="1"/>
    <xf numFmtId="165" fontId="18" fillId="34" borderId="59" xfId="0" applyNumberFormat="1" applyFont="1" applyFill="1" applyBorder="1"/>
    <xf numFmtId="0" fontId="19" fillId="34" borderId="64" xfId="0" applyFont="1" applyFill="1" applyBorder="1"/>
    <xf numFmtId="0" fontId="18" fillId="34" borderId="65" xfId="0" applyFont="1" applyFill="1" applyBorder="1"/>
    <xf numFmtId="0" fontId="18" fillId="34" borderId="66" xfId="0" applyFont="1" applyFill="1" applyBorder="1"/>
    <xf numFmtId="0" fontId="19" fillId="34" borderId="59" xfId="0" applyFont="1" applyFill="1" applyBorder="1" applyAlignment="1">
      <alignment horizontal="left" indent="1"/>
    </xf>
    <xf numFmtId="165" fontId="19" fillId="34" borderId="0" xfId="0" applyNumberFormat="1" applyFont="1" applyFill="1"/>
    <xf numFmtId="165" fontId="19" fillId="34" borderId="59" xfId="0" applyNumberFormat="1" applyFont="1" applyFill="1" applyBorder="1"/>
    <xf numFmtId="0" fontId="47" fillId="34" borderId="60" xfId="0" applyFont="1" applyFill="1" applyBorder="1"/>
    <xf numFmtId="3" fontId="18" fillId="0" borderId="0" xfId="0" applyNumberFormat="1" applyFont="1" applyAlignment="1">
      <alignment horizontal="right" indent="2"/>
    </xf>
    <xf numFmtId="0" fontId="18" fillId="0" borderId="0" xfId="0" applyFont="1" applyAlignment="1">
      <alignment horizontal="right" indent="2"/>
    </xf>
    <xf numFmtId="3" fontId="18" fillId="0" borderId="67" xfId="0" applyNumberFormat="1" applyFont="1" applyBorder="1" applyAlignment="1">
      <alignment horizontal="right" indent="2"/>
    </xf>
    <xf numFmtId="166" fontId="18" fillId="0" borderId="68" xfId="0" applyNumberFormat="1" applyFont="1" applyBorder="1" applyAlignment="1">
      <alignment horizontal="right" indent="2"/>
    </xf>
    <xf numFmtId="0" fontId="19" fillId="34" borderId="15" xfId="0" applyFont="1" applyFill="1" applyBorder="1" applyAlignment="1">
      <alignment horizontal="center" wrapText="1"/>
    </xf>
    <xf numFmtId="0" fontId="19" fillId="34" borderId="69" xfId="0" applyFont="1" applyFill="1" applyBorder="1" applyAlignment="1">
      <alignment horizontal="center" wrapText="1"/>
    </xf>
    <xf numFmtId="0" fontId="19" fillId="34" borderId="70" xfId="0" applyFont="1" applyFill="1" applyBorder="1" applyAlignment="1">
      <alignment horizontal="center" wrapText="1"/>
    </xf>
    <xf numFmtId="0" fontId="19" fillId="34" borderId="76" xfId="0" applyFont="1" applyFill="1" applyBorder="1" applyAlignment="1">
      <alignment horizontal="center" wrapText="1"/>
    </xf>
    <xf numFmtId="0" fontId="18" fillId="0" borderId="77" xfId="0" applyFont="1" applyBorder="1"/>
    <xf numFmtId="0" fontId="18" fillId="0" borderId="78" xfId="0" applyFont="1" applyBorder="1" applyAlignment="1">
      <alignment horizontal="right" indent="2"/>
    </xf>
    <xf numFmtId="0" fontId="18" fillId="0" borderId="77" xfId="0" quotePrefix="1" applyFont="1" applyBorder="1"/>
    <xf numFmtId="166" fontId="18" fillId="0" borderId="78" xfId="0" applyNumberFormat="1" applyFont="1" applyBorder="1" applyAlignment="1">
      <alignment horizontal="right" indent="2"/>
    </xf>
    <xf numFmtId="0" fontId="19" fillId="0" borderId="79" xfId="0" quotePrefix="1" applyFont="1" applyBorder="1"/>
    <xf numFmtId="3" fontId="19" fillId="0" borderId="80" xfId="0" applyNumberFormat="1" applyFont="1" applyBorder="1" applyAlignment="1">
      <alignment horizontal="right" indent="2"/>
    </xf>
    <xf numFmtId="166" fontId="19" fillId="0" borderId="81" xfId="0" applyNumberFormat="1" applyFont="1" applyBorder="1" applyAlignment="1">
      <alignment horizontal="right" indent="2"/>
    </xf>
    <xf numFmtId="166" fontId="19" fillId="0" borderId="82" xfId="0" applyNumberFormat="1" applyFont="1" applyBorder="1" applyAlignment="1">
      <alignment horizontal="right" indent="2"/>
    </xf>
    <xf numFmtId="0" fontId="19" fillId="34" borderId="83" xfId="0" applyFont="1" applyFill="1" applyBorder="1" applyAlignment="1">
      <alignment horizontal="center" wrapText="1"/>
    </xf>
    <xf numFmtId="166" fontId="18" fillId="0" borderId="0" xfId="0" applyNumberFormat="1" applyFont="1" applyAlignment="1">
      <alignment horizontal="right" indent="1"/>
    </xf>
    <xf numFmtId="166" fontId="18" fillId="0" borderId="84" xfId="0" applyNumberFormat="1" applyFont="1" applyBorder="1" applyAlignment="1">
      <alignment horizontal="right" indent="1"/>
    </xf>
    <xf numFmtId="166" fontId="18" fillId="0" borderId="32" xfId="0" applyNumberFormat="1" applyFont="1" applyBorder="1" applyAlignment="1">
      <alignment horizontal="right" indent="1"/>
    </xf>
    <xf numFmtId="166" fontId="18" fillId="0" borderId="85" xfId="0" applyNumberFormat="1" applyFont="1" applyBorder="1" applyAlignment="1">
      <alignment horizontal="right" indent="1"/>
    </xf>
    <xf numFmtId="166" fontId="19" fillId="0" borderId="38" xfId="0" applyNumberFormat="1" applyFont="1" applyBorder="1" applyAlignment="1">
      <alignment horizontal="right" indent="1"/>
    </xf>
    <xf numFmtId="166" fontId="19" fillId="0" borderId="86" xfId="0" applyNumberFormat="1" applyFont="1" applyBorder="1" applyAlignment="1">
      <alignment horizontal="right" indent="1"/>
    </xf>
    <xf numFmtId="0" fontId="48" fillId="0" borderId="87" xfId="0" applyFont="1" applyBorder="1" applyAlignment="1">
      <alignment horizontal="center" vertical="center"/>
    </xf>
    <xf numFmtId="0" fontId="48" fillId="0" borderId="88" xfId="0" applyFont="1" applyBorder="1" applyAlignment="1">
      <alignment horizontal="center" vertical="center"/>
    </xf>
    <xf numFmtId="0" fontId="18" fillId="48" borderId="89" xfId="0" applyFont="1" applyFill="1" applyBorder="1" applyAlignment="1">
      <alignment horizontal="left" vertical="top"/>
    </xf>
    <xf numFmtId="0" fontId="18" fillId="46" borderId="90" xfId="0" applyFont="1" applyFill="1" applyBorder="1" applyAlignment="1">
      <alignment horizontal="center" vertical="center"/>
    </xf>
    <xf numFmtId="0" fontId="18" fillId="47" borderId="35" xfId="0" applyFont="1" applyFill="1" applyBorder="1" applyAlignment="1">
      <alignment horizontal="center" vertical="center"/>
    </xf>
    <xf numFmtId="0" fontId="18" fillId="36" borderId="0" xfId="0" applyFont="1" applyFill="1"/>
    <xf numFmtId="0" fontId="18" fillId="0" borderId="91" xfId="0" applyFont="1" applyBorder="1" applyAlignment="1">
      <alignment horizontal="left" vertical="top"/>
    </xf>
    <xf numFmtId="0" fontId="18" fillId="46" borderId="92" xfId="0" applyFont="1" applyFill="1" applyBorder="1" applyAlignment="1">
      <alignment horizontal="center" vertical="center"/>
    </xf>
    <xf numFmtId="0" fontId="18" fillId="47" borderId="93" xfId="0" applyFont="1" applyFill="1" applyBorder="1" applyAlignment="1">
      <alignment horizontal="center" vertical="center"/>
    </xf>
    <xf numFmtId="0" fontId="50" fillId="48" borderId="91" xfId="0" applyFont="1" applyFill="1" applyBorder="1" applyAlignment="1">
      <alignment vertical="center" wrapText="1"/>
    </xf>
    <xf numFmtId="0" fontId="50" fillId="0" borderId="91" xfId="0" applyFont="1" applyBorder="1" applyAlignment="1">
      <alignment vertical="center" wrapText="1"/>
    </xf>
    <xf numFmtId="0" fontId="50" fillId="48" borderId="91" xfId="0" applyFont="1" applyFill="1" applyBorder="1" applyAlignment="1">
      <alignment vertical="top" wrapText="1"/>
    </xf>
    <xf numFmtId="0" fontId="48" fillId="48" borderId="49" xfId="0" applyFont="1" applyFill="1" applyBorder="1" applyAlignment="1">
      <alignment horizontal="center" vertical="top"/>
    </xf>
    <xf numFmtId="0" fontId="48" fillId="0" borderId="41" xfId="0" applyFont="1" applyBorder="1" applyAlignment="1">
      <alignment horizontal="center" vertical="top"/>
    </xf>
    <xf numFmtId="0" fontId="49" fillId="48" borderId="41" xfId="0" applyFont="1" applyFill="1" applyBorder="1" applyAlignment="1">
      <alignment horizontal="center" vertical="center" wrapText="1"/>
    </xf>
    <xf numFmtId="0" fontId="49" fillId="0" borderId="41" xfId="0" applyFont="1" applyBorder="1" applyAlignment="1">
      <alignment horizontal="center" vertical="center" wrapText="1"/>
    </xf>
    <xf numFmtId="0" fontId="49" fillId="48" borderId="41" xfId="0" applyFont="1" applyFill="1" applyBorder="1" applyAlignment="1">
      <alignment horizontal="center" vertical="top" wrapText="1"/>
    </xf>
    <xf numFmtId="0" fontId="48" fillId="0" borderId="0" xfId="0" applyFont="1" applyAlignment="1">
      <alignment vertical="center"/>
    </xf>
    <xf numFmtId="0" fontId="48" fillId="0" borderId="90" xfId="0" applyFont="1" applyBorder="1" applyAlignment="1">
      <alignment vertical="center"/>
    </xf>
    <xf numFmtId="0" fontId="18" fillId="46" borderId="94" xfId="0" applyFont="1" applyFill="1" applyBorder="1" applyAlignment="1">
      <alignment horizontal="center" vertical="center" wrapText="1"/>
    </xf>
    <xf numFmtId="0" fontId="18" fillId="47" borderId="37" xfId="0" applyFont="1" applyFill="1" applyBorder="1" applyAlignment="1">
      <alignment horizontal="center" vertical="center" wrapText="1"/>
    </xf>
    <xf numFmtId="0" fontId="48" fillId="0" borderId="47" xfId="0" applyFont="1" applyBorder="1" applyAlignment="1">
      <alignment horizontal="center" vertical="top"/>
    </xf>
    <xf numFmtId="0" fontId="18" fillId="0" borderId="95" xfId="0" applyFont="1" applyBorder="1" applyAlignment="1">
      <alignment horizontal="left" vertical="top"/>
    </xf>
    <xf numFmtId="0" fontId="18" fillId="46" borderId="96" xfId="0" applyFont="1" applyFill="1" applyBorder="1" applyAlignment="1">
      <alignment horizontal="center" vertical="center"/>
    </xf>
    <xf numFmtId="0" fontId="18" fillId="47" borderId="97" xfId="0" applyFont="1" applyFill="1" applyBorder="1" applyAlignment="1">
      <alignment horizontal="center" vertical="center"/>
    </xf>
    <xf numFmtId="0" fontId="18" fillId="39" borderId="0" xfId="0" applyFont="1" applyFill="1" applyAlignment="1">
      <alignment horizontal="center"/>
    </xf>
    <xf numFmtId="0" fontId="30" fillId="47" borderId="93" xfId="0" applyFont="1" applyFill="1" applyBorder="1" applyAlignment="1">
      <alignment horizontal="center" vertical="center"/>
    </xf>
    <xf numFmtId="0" fontId="30" fillId="47" borderId="35" xfId="0" applyFont="1" applyFill="1" applyBorder="1" applyAlignment="1">
      <alignment horizontal="center" vertical="center"/>
    </xf>
    <xf numFmtId="0" fontId="43" fillId="0" borderId="47" xfId="0" applyFont="1" applyBorder="1" applyAlignment="1">
      <alignment vertical="center" wrapText="1"/>
    </xf>
    <xf numFmtId="0" fontId="43" fillId="0" borderId="44" xfId="0" applyFont="1" applyBorder="1" applyAlignment="1">
      <alignment vertical="center" wrapText="1"/>
    </xf>
    <xf numFmtId="3" fontId="43" fillId="0" borderId="44" xfId="0" applyNumberFormat="1" applyFont="1" applyBorder="1" applyAlignment="1">
      <alignment horizontal="right" vertical="center" wrapText="1" indent="4"/>
    </xf>
    <xf numFmtId="0" fontId="43" fillId="0" borderId="48" xfId="0" applyFont="1" applyBorder="1" applyAlignment="1">
      <alignment vertical="center" wrapText="1"/>
    </xf>
    <xf numFmtId="0" fontId="43" fillId="0" borderId="12" xfId="0" applyFont="1" applyBorder="1" applyAlignment="1">
      <alignment vertical="center" wrapText="1"/>
    </xf>
    <xf numFmtId="3" fontId="43" fillId="0" borderId="12" xfId="0" applyNumberFormat="1" applyFont="1" applyBorder="1" applyAlignment="1">
      <alignment horizontal="right" vertical="center" wrapText="1" indent="4"/>
    </xf>
    <xf numFmtId="0" fontId="43" fillId="0" borderId="12" xfId="0" applyFont="1" applyBorder="1" applyAlignment="1">
      <alignment horizontal="right" vertical="center" wrapText="1" indent="4"/>
    </xf>
    <xf numFmtId="0" fontId="42" fillId="0" borderId="12" xfId="0" applyFont="1" applyBorder="1" applyAlignment="1">
      <alignment vertical="center" wrapText="1"/>
    </xf>
    <xf numFmtId="0" fontId="43" fillId="0" borderId="49" xfId="0" applyFont="1" applyBorder="1" applyAlignment="1">
      <alignment vertical="center" wrapText="1"/>
    </xf>
    <xf numFmtId="0" fontId="43" fillId="0" borderId="45" xfId="0" applyFont="1" applyBorder="1" applyAlignment="1">
      <alignment horizontal="right" vertical="center" wrapText="1" indent="4"/>
    </xf>
    <xf numFmtId="0" fontId="43" fillId="0" borderId="103" xfId="0" applyFont="1" applyBorder="1" applyAlignment="1">
      <alignment vertical="center" wrapText="1"/>
    </xf>
    <xf numFmtId="0" fontId="43" fillId="0" borderId="102" xfId="0" applyFont="1" applyBorder="1" applyAlignment="1">
      <alignment vertical="center" wrapText="1"/>
    </xf>
    <xf numFmtId="0" fontId="43" fillId="0" borderId="101" xfId="0" applyFont="1" applyBorder="1" applyAlignment="1">
      <alignment horizontal="right" vertical="center" wrapText="1" indent="4"/>
    </xf>
    <xf numFmtId="0" fontId="43" fillId="0" borderId="104" xfId="0" applyFont="1" applyBorder="1" applyAlignment="1">
      <alignment vertical="center" wrapText="1"/>
    </xf>
    <xf numFmtId="0" fontId="43" fillId="0" borderId="102" xfId="0" applyFont="1" applyBorder="1" applyAlignment="1">
      <alignment horizontal="right" vertical="center" wrapText="1" indent="4"/>
    </xf>
    <xf numFmtId="0" fontId="43" fillId="0" borderId="45" xfId="0" applyFont="1" applyBorder="1" applyAlignment="1">
      <alignment vertical="center" wrapText="1"/>
    </xf>
    <xf numFmtId="0" fontId="24" fillId="49" borderId="41" xfId="0" applyFont="1" applyFill="1" applyBorder="1" applyAlignment="1">
      <alignment vertical="center" wrapText="1"/>
    </xf>
    <xf numFmtId="0" fontId="24" fillId="49" borderId="10" xfId="0" applyFont="1" applyFill="1" applyBorder="1" applyAlignment="1">
      <alignment vertical="center" wrapText="1"/>
    </xf>
    <xf numFmtId="0" fontId="24" fillId="49" borderId="10" xfId="0" applyFont="1" applyFill="1" applyBorder="1" applyAlignment="1">
      <alignment horizontal="center" vertical="center" wrapText="1"/>
    </xf>
    <xf numFmtId="0" fontId="41" fillId="0" borderId="0" xfId="0" applyFont="1" applyAlignment="1">
      <alignment vertical="center" wrapText="1"/>
    </xf>
    <xf numFmtId="0" fontId="24" fillId="49" borderId="39" xfId="0" applyFont="1" applyFill="1" applyBorder="1" applyAlignment="1">
      <alignment horizontal="center" vertical="center" wrapText="1"/>
    </xf>
    <xf numFmtId="166" fontId="18" fillId="0" borderId="12" xfId="0" applyNumberFormat="1" applyFont="1" applyBorder="1" applyAlignment="1">
      <alignment horizontal="right" indent="4"/>
    </xf>
    <xf numFmtId="0" fontId="24" fillId="49" borderId="44" xfId="0" applyFont="1" applyFill="1" applyBorder="1" applyAlignment="1">
      <alignment horizontal="center" vertical="center" wrapText="1"/>
    </xf>
    <xf numFmtId="0" fontId="43" fillId="0" borderId="44" xfId="0" applyFont="1" applyBorder="1" applyAlignment="1">
      <alignment horizontal="center" vertical="center" wrapText="1"/>
    </xf>
    <xf numFmtId="0" fontId="43" fillId="0" borderId="12" xfId="0" applyFont="1" applyBorder="1" applyAlignment="1">
      <alignment horizontal="center" vertical="center" wrapText="1"/>
    </xf>
    <xf numFmtId="0" fontId="42" fillId="0" borderId="12" xfId="0" applyFont="1" applyBorder="1" applyAlignment="1">
      <alignment horizontal="center" vertical="center" wrapText="1"/>
    </xf>
    <xf numFmtId="0" fontId="43" fillId="0" borderId="102" xfId="0" applyFont="1" applyBorder="1" applyAlignment="1">
      <alignment horizontal="center" vertical="center" wrapText="1"/>
    </xf>
    <xf numFmtId="0" fontId="43" fillId="0" borderId="45" xfId="0" applyFont="1" applyBorder="1" applyAlignment="1">
      <alignment horizontal="center" vertical="center" wrapText="1"/>
    </xf>
    <xf numFmtId="164" fontId="43" fillId="0" borderId="44" xfId="0" applyNumberFormat="1" applyFont="1" applyBorder="1" applyAlignment="1">
      <alignment horizontal="right" vertical="center" wrapText="1" indent="4"/>
    </xf>
    <xf numFmtId="164" fontId="43" fillId="0" borderId="12" xfId="0" applyNumberFormat="1" applyFont="1" applyBorder="1" applyAlignment="1">
      <alignment horizontal="right" vertical="center" wrapText="1" indent="4"/>
    </xf>
    <xf numFmtId="164" fontId="43" fillId="0" borderId="45" xfId="0" applyNumberFormat="1" applyFont="1" applyBorder="1" applyAlignment="1">
      <alignment horizontal="right" vertical="center" wrapText="1" indent="4"/>
    </xf>
    <xf numFmtId="0" fontId="52" fillId="0" borderId="12" xfId="0" applyFont="1" applyBorder="1" applyAlignment="1">
      <alignment horizontal="right" vertical="center" wrapText="1" indent="2"/>
    </xf>
    <xf numFmtId="0" fontId="43" fillId="0" borderId="12" xfId="0" applyFont="1" applyBorder="1" applyAlignment="1">
      <alignment horizontal="right" wrapText="1" indent="4"/>
    </xf>
    <xf numFmtId="164" fontId="43" fillId="0" borderId="12" xfId="0" applyNumberFormat="1" applyFont="1" applyBorder="1" applyAlignment="1">
      <alignment horizontal="right" wrapText="1" indent="4"/>
    </xf>
    <xf numFmtId="0" fontId="24" fillId="41" borderId="10" xfId="0" applyFont="1" applyFill="1" applyBorder="1" applyAlignment="1">
      <alignment horizontal="center" vertical="center" wrapText="1"/>
    </xf>
    <xf numFmtId="0" fontId="18" fillId="34" borderId="107" xfId="0" applyFont="1" applyFill="1" applyBorder="1" applyAlignment="1">
      <alignment horizontal="left" indent="1"/>
    </xf>
    <xf numFmtId="0" fontId="18" fillId="34" borderId="108" xfId="0" applyFont="1" applyFill="1" applyBorder="1"/>
    <xf numFmtId="0" fontId="18" fillId="34" borderId="109" xfId="0" applyFont="1" applyFill="1" applyBorder="1"/>
    <xf numFmtId="0" fontId="18" fillId="34" borderId="0" xfId="0" applyFont="1" applyFill="1" applyAlignment="1">
      <alignment vertical="center"/>
    </xf>
    <xf numFmtId="0" fontId="18" fillId="34" borderId="111" xfId="0" applyFont="1" applyFill="1" applyBorder="1"/>
    <xf numFmtId="0" fontId="40" fillId="34" borderId="0" xfId="0" applyFont="1" applyFill="1" applyAlignment="1">
      <alignment horizontal="right" vertical="center"/>
    </xf>
    <xf numFmtId="0" fontId="18" fillId="34" borderId="0" xfId="0" applyFont="1" applyFill="1" applyAlignment="1">
      <alignment horizontal="left" vertical="center" indent="1"/>
    </xf>
    <xf numFmtId="0" fontId="18" fillId="34" borderId="112" xfId="0" applyFont="1" applyFill="1" applyBorder="1"/>
    <xf numFmtId="0" fontId="18" fillId="34" borderId="113" xfId="0" applyFont="1" applyFill="1" applyBorder="1"/>
    <xf numFmtId="0" fontId="18" fillId="34" borderId="114" xfId="0" applyFont="1" applyFill="1" applyBorder="1"/>
    <xf numFmtId="0" fontId="53" fillId="0" borderId="0" xfId="0" applyFont="1"/>
    <xf numFmtId="0" fontId="53" fillId="34" borderId="110" xfId="0" applyFont="1" applyFill="1" applyBorder="1"/>
    <xf numFmtId="0" fontId="18" fillId="34" borderId="115" xfId="0" applyFont="1" applyFill="1" applyBorder="1"/>
    <xf numFmtId="0" fontId="18" fillId="34" borderId="116" xfId="0" applyFont="1" applyFill="1" applyBorder="1"/>
    <xf numFmtId="0" fontId="18" fillId="34" borderId="117" xfId="0" applyFont="1" applyFill="1" applyBorder="1"/>
    <xf numFmtId="0" fontId="18" fillId="34" borderId="118" xfId="0" applyFont="1" applyFill="1" applyBorder="1"/>
    <xf numFmtId="0" fontId="18" fillId="34" borderId="119" xfId="0" applyFont="1" applyFill="1" applyBorder="1"/>
    <xf numFmtId="0" fontId="18" fillId="34" borderId="120" xfId="0" applyFont="1" applyFill="1" applyBorder="1"/>
    <xf numFmtId="0" fontId="53" fillId="34" borderId="115" xfId="0" applyFont="1" applyFill="1" applyBorder="1"/>
    <xf numFmtId="9" fontId="18" fillId="34" borderId="116" xfId="0" applyNumberFormat="1" applyFont="1" applyFill="1" applyBorder="1"/>
    <xf numFmtId="0" fontId="18" fillId="34" borderId="121" xfId="0" applyFont="1" applyFill="1" applyBorder="1"/>
    <xf numFmtId="166" fontId="18" fillId="0" borderId="44" xfId="0" applyNumberFormat="1" applyFont="1" applyBorder="1" applyAlignment="1">
      <alignment horizontal="right" indent="2"/>
    </xf>
    <xf numFmtId="166" fontId="18" fillId="0" borderId="12" xfId="0" applyNumberFormat="1" applyFont="1" applyBorder="1" applyAlignment="1">
      <alignment horizontal="right" indent="2"/>
    </xf>
    <xf numFmtId="166" fontId="18" fillId="0" borderId="12" xfId="0" applyNumberFormat="1" applyFont="1" applyBorder="1" applyAlignment="1">
      <alignment horizontal="right" vertical="center" indent="2"/>
    </xf>
    <xf numFmtId="166" fontId="18" fillId="0" borderId="45" xfId="0" applyNumberFormat="1" applyFont="1" applyBorder="1" applyAlignment="1">
      <alignment horizontal="right" indent="2"/>
    </xf>
    <xf numFmtId="164" fontId="18" fillId="0" borderId="12" xfId="0" applyNumberFormat="1" applyFont="1" applyBorder="1" applyAlignment="1">
      <alignment horizontal="right" indent="3"/>
    </xf>
    <xf numFmtId="164" fontId="18" fillId="0" borderId="12" xfId="0" applyNumberFormat="1" applyFont="1" applyBorder="1" applyAlignment="1">
      <alignment horizontal="right" vertical="center" indent="3"/>
    </xf>
    <xf numFmtId="164" fontId="18" fillId="0" borderId="45" xfId="0" applyNumberFormat="1" applyFont="1" applyBorder="1" applyAlignment="1">
      <alignment horizontal="right" indent="3"/>
    </xf>
    <xf numFmtId="3" fontId="43" fillId="0" borderId="46" xfId="0" applyNumberFormat="1" applyFont="1" applyBorder="1" applyAlignment="1">
      <alignment horizontal="right" vertical="center" wrapText="1" indent="3"/>
    </xf>
    <xf numFmtId="3" fontId="43" fillId="0" borderId="24" xfId="0" applyNumberFormat="1" applyFont="1" applyBorder="1" applyAlignment="1">
      <alignment horizontal="right" vertical="center" wrapText="1" indent="3"/>
    </xf>
    <xf numFmtId="0" fontId="43" fillId="0" borderId="24" xfId="0" applyFont="1" applyBorder="1" applyAlignment="1">
      <alignment horizontal="right" wrapText="1" indent="3"/>
    </xf>
    <xf numFmtId="0" fontId="52" fillId="0" borderId="24" xfId="0" applyFont="1" applyBorder="1" applyAlignment="1">
      <alignment horizontal="right" vertical="center" wrapText="1" indent="1"/>
    </xf>
    <xf numFmtId="0" fontId="43" fillId="0" borderId="24" xfId="0" applyFont="1" applyBorder="1" applyAlignment="1">
      <alignment horizontal="right" vertical="center" wrapText="1" indent="3"/>
    </xf>
    <xf numFmtId="0" fontId="43" fillId="0" borderId="11" xfId="0" applyFont="1" applyBorder="1" applyAlignment="1">
      <alignment horizontal="right" vertical="center" wrapText="1" indent="3"/>
    </xf>
    <xf numFmtId="0" fontId="43" fillId="0" borderId="105" xfId="0" applyFont="1" applyBorder="1" applyAlignment="1">
      <alignment horizontal="right" vertical="center" wrapText="1" indent="3"/>
    </xf>
    <xf numFmtId="0" fontId="43" fillId="0" borderId="106" xfId="0" applyFont="1" applyBorder="1" applyAlignment="1">
      <alignment horizontal="right" vertical="center" wrapText="1" indent="3"/>
    </xf>
    <xf numFmtId="0" fontId="54" fillId="0" borderId="0" xfId="0" applyFont="1" applyAlignment="1">
      <alignment horizontal="left" vertical="top"/>
    </xf>
    <xf numFmtId="1" fontId="23" fillId="0" borderId="27" xfId="43" applyNumberFormat="1" applyFont="1" applyBorder="1" applyAlignment="1">
      <alignment horizontal="left" vertical="center" wrapText="1"/>
    </xf>
    <xf numFmtId="0" fontId="30" fillId="0" borderId="27" xfId="43" applyFont="1" applyBorder="1" applyAlignment="1">
      <alignment horizontal="left" vertical="center" wrapText="1"/>
    </xf>
    <xf numFmtId="167" fontId="23" fillId="35" borderId="27" xfId="43" applyNumberFormat="1" applyFont="1" applyFill="1" applyBorder="1" applyAlignment="1">
      <alignment horizontal="left" vertical="center" wrapText="1"/>
    </xf>
    <xf numFmtId="0" fontId="29" fillId="0" borderId="0" xfId="0" applyFont="1"/>
    <xf numFmtId="167" fontId="18" fillId="0" borderId="0" xfId="0" applyNumberFormat="1" applyFont="1" applyAlignment="1">
      <alignment wrapText="1"/>
    </xf>
    <xf numFmtId="0" fontId="23" fillId="0" borderId="0" xfId="103" applyFont="1"/>
    <xf numFmtId="49" fontId="56" fillId="51" borderId="122" xfId="103" applyNumberFormat="1" applyFont="1" applyFill="1" applyBorder="1" applyAlignment="1">
      <alignment horizontal="left"/>
    </xf>
    <xf numFmtId="0" fontId="56" fillId="51" borderId="0" xfId="103" applyFont="1" applyFill="1" applyAlignment="1">
      <alignment horizontal="left"/>
    </xf>
    <xf numFmtId="0" fontId="56" fillId="51" borderId="122" xfId="103" applyFont="1" applyFill="1" applyBorder="1" applyAlignment="1">
      <alignment horizontal="right"/>
    </xf>
    <xf numFmtId="0" fontId="57" fillId="51" borderId="123" xfId="103" applyFont="1" applyFill="1" applyBorder="1" applyAlignment="1">
      <alignment horizontal="left"/>
    </xf>
    <xf numFmtId="49" fontId="57" fillId="51" borderId="123" xfId="103" applyNumberFormat="1" applyFont="1" applyFill="1" applyBorder="1" applyAlignment="1">
      <alignment horizontal="left"/>
    </xf>
    <xf numFmtId="0" fontId="57" fillId="51" borderId="123" xfId="103" applyFont="1" applyFill="1" applyBorder="1" applyAlignment="1">
      <alignment horizontal="right"/>
    </xf>
    <xf numFmtId="3" fontId="57" fillId="51" borderId="123" xfId="103" applyNumberFormat="1" applyFont="1" applyFill="1" applyBorder="1" applyAlignment="1">
      <alignment horizontal="right"/>
    </xf>
    <xf numFmtId="0" fontId="23" fillId="0" borderId="0" xfId="103" applyFont="1" applyAlignment="1">
      <alignment horizontal="center" wrapText="1"/>
    </xf>
    <xf numFmtId="0" fontId="23" fillId="0" borderId="0" xfId="103" applyFont="1" applyAlignment="1">
      <alignment horizontal="center"/>
    </xf>
    <xf numFmtId="1" fontId="56" fillId="51" borderId="124" xfId="103" applyNumberFormat="1" applyFont="1" applyFill="1" applyBorder="1" applyAlignment="1">
      <alignment horizontal="right"/>
    </xf>
    <xf numFmtId="3" fontId="56" fillId="51" borderId="125" xfId="103" applyNumberFormat="1" applyFont="1" applyFill="1" applyBorder="1" applyAlignment="1">
      <alignment horizontal="right"/>
    </xf>
    <xf numFmtId="49" fontId="56" fillId="50" borderId="126" xfId="103" applyNumberFormat="1" applyFont="1" applyFill="1" applyBorder="1" applyAlignment="1">
      <alignment horizontal="left"/>
    </xf>
    <xf numFmtId="49" fontId="56" fillId="50" borderId="127" xfId="103" applyNumberFormat="1" applyFont="1" applyFill="1" applyBorder="1" applyAlignment="1">
      <alignment horizontal="left"/>
    </xf>
    <xf numFmtId="49" fontId="56" fillId="50" borderId="128" xfId="103" applyNumberFormat="1" applyFont="1" applyFill="1" applyBorder="1" applyAlignment="1">
      <alignment horizontal="left"/>
    </xf>
    <xf numFmtId="1" fontId="56" fillId="51" borderId="129" xfId="103" applyNumberFormat="1" applyFont="1" applyFill="1" applyBorder="1" applyAlignment="1">
      <alignment horizontal="right"/>
    </xf>
    <xf numFmtId="49" fontId="56" fillId="51" borderId="130" xfId="103" applyNumberFormat="1" applyFont="1" applyFill="1" applyBorder="1" applyAlignment="1">
      <alignment horizontal="left"/>
    </xf>
    <xf numFmtId="0" fontId="56" fillId="51" borderId="130" xfId="103" applyFont="1" applyFill="1" applyBorder="1" applyAlignment="1">
      <alignment horizontal="right"/>
    </xf>
    <xf numFmtId="3" fontId="56" fillId="51" borderId="131" xfId="103" applyNumberFormat="1" applyFont="1" applyFill="1" applyBorder="1" applyAlignment="1">
      <alignment horizontal="right"/>
    </xf>
    <xf numFmtId="49" fontId="56" fillId="0" borderId="0" xfId="103" applyNumberFormat="1" applyFont="1" applyAlignment="1">
      <alignment horizontal="left"/>
    </xf>
    <xf numFmtId="0" fontId="23" fillId="34" borderId="0" xfId="103" applyFont="1" applyFill="1" applyAlignment="1">
      <alignment horizontal="center" wrapText="1"/>
    </xf>
    <xf numFmtId="49" fontId="56" fillId="34" borderId="0" xfId="103" applyNumberFormat="1" applyFont="1" applyFill="1" applyAlignment="1">
      <alignment horizontal="left" wrapText="1"/>
    </xf>
    <xf numFmtId="0" fontId="59" fillId="0" borderId="0" xfId="103" applyFont="1"/>
    <xf numFmtId="166" fontId="23" fillId="0" borderId="0" xfId="103" applyNumberFormat="1" applyFont="1"/>
    <xf numFmtId="3" fontId="23" fillId="0" borderId="0" xfId="103" applyNumberFormat="1" applyFont="1"/>
    <xf numFmtId="0" fontId="23" fillId="0" borderId="0" xfId="103" applyFont="1" applyAlignment="1">
      <alignment horizontal="right" indent="2"/>
    </xf>
    <xf numFmtId="166" fontId="23" fillId="0" borderId="0" xfId="103" applyNumberFormat="1" applyFont="1" applyAlignment="1">
      <alignment horizontal="right" indent="2"/>
    </xf>
    <xf numFmtId="1" fontId="23" fillId="0" borderId="0" xfId="103" applyNumberFormat="1" applyFont="1" applyAlignment="1">
      <alignment horizontal="right" indent="2"/>
    </xf>
    <xf numFmtId="3" fontId="23" fillId="0" borderId="0" xfId="103" applyNumberFormat="1" applyFont="1" applyAlignment="1">
      <alignment horizontal="right" indent="2"/>
    </xf>
    <xf numFmtId="0" fontId="53" fillId="34" borderId="132" xfId="0" applyFont="1" applyFill="1" applyBorder="1"/>
    <xf numFmtId="0" fontId="18" fillId="34" borderId="133" xfId="0" applyFont="1" applyFill="1" applyBorder="1"/>
    <xf numFmtId="0" fontId="60" fillId="0" borderId="0" xfId="103" applyFont="1"/>
    <xf numFmtId="0" fontId="58" fillId="52" borderId="134" xfId="103" applyFont="1" applyFill="1" applyBorder="1"/>
    <xf numFmtId="0" fontId="23" fillId="52" borderId="135" xfId="103" applyFont="1" applyFill="1" applyBorder="1"/>
    <xf numFmtId="0" fontId="58" fillId="52" borderId="135" xfId="103" applyFont="1" applyFill="1" applyBorder="1"/>
    <xf numFmtId="0" fontId="58" fillId="52" borderId="136" xfId="103" applyFont="1" applyFill="1" applyBorder="1"/>
    <xf numFmtId="0" fontId="23" fillId="52" borderId="137" xfId="103" applyFont="1" applyFill="1" applyBorder="1"/>
    <xf numFmtId="0" fontId="23" fillId="52" borderId="0" xfId="103" applyFont="1" applyFill="1"/>
    <xf numFmtId="9" fontId="23" fillId="52" borderId="0" xfId="103" applyNumberFormat="1" applyFont="1" applyFill="1" applyAlignment="1">
      <alignment horizontal="center"/>
    </xf>
    <xf numFmtId="0" fontId="23" fillId="52" borderId="138" xfId="103" applyFont="1" applyFill="1" applyBorder="1"/>
    <xf numFmtId="0" fontId="23" fillId="52" borderId="0" xfId="103" applyFont="1" applyFill="1" applyAlignment="1">
      <alignment horizontal="center"/>
    </xf>
    <xf numFmtId="0" fontId="23" fillId="52" borderId="139" xfId="103" applyFont="1" applyFill="1" applyBorder="1"/>
    <xf numFmtId="0" fontId="23" fillId="52" borderId="140" xfId="103" applyFont="1" applyFill="1" applyBorder="1"/>
    <xf numFmtId="0" fontId="23" fillId="52" borderId="140" xfId="103" applyFont="1" applyFill="1" applyBorder="1" applyAlignment="1">
      <alignment horizontal="center"/>
    </xf>
    <xf numFmtId="0" fontId="23" fillId="52" borderId="141" xfId="103" applyFont="1" applyFill="1" applyBorder="1"/>
    <xf numFmtId="0" fontId="48" fillId="0" borderId="87" xfId="0" applyFont="1" applyBorder="1"/>
    <xf numFmtId="0" fontId="48" fillId="0" borderId="98" xfId="0" applyFont="1" applyBorder="1"/>
    <xf numFmtId="0" fontId="48" fillId="0" borderId="87" xfId="0" applyFont="1" applyBorder="1" applyAlignment="1">
      <alignment horizontal="center" vertical="center" wrapText="1"/>
    </xf>
    <xf numFmtId="0" fontId="51" fillId="0" borderId="92" xfId="0" applyFont="1" applyBorder="1" applyAlignment="1">
      <alignment horizontal="left" vertical="top"/>
    </xf>
    <xf numFmtId="0" fontId="51" fillId="0" borderId="40" xfId="0" applyFont="1" applyBorder="1" applyAlignment="1">
      <alignment horizontal="left" vertical="top"/>
    </xf>
    <xf numFmtId="0" fontId="51" fillId="0" borderId="92" xfId="0" applyFont="1" applyBorder="1" applyAlignment="1">
      <alignment horizontal="left" vertical="top" indent="3"/>
    </xf>
    <xf numFmtId="0" fontId="50" fillId="0" borderId="92" xfId="0" applyFont="1" applyBorder="1" applyAlignment="1">
      <alignment horizontal="center" vertical="top"/>
    </xf>
    <xf numFmtId="0" fontId="51" fillId="0" borderId="99" xfId="0" applyFont="1" applyBorder="1" applyAlignment="1">
      <alignment horizontal="left" vertical="top"/>
    </xf>
    <xf numFmtId="0" fontId="51" fillId="0" borderId="92" xfId="0" applyFont="1" applyBorder="1" applyAlignment="1">
      <alignment horizontal="left" vertical="top" wrapText="1"/>
    </xf>
    <xf numFmtId="0" fontId="51" fillId="0" borderId="0" xfId="0" applyFont="1" applyAlignment="1">
      <alignment horizontal="left" vertical="top"/>
    </xf>
    <xf numFmtId="0" fontId="51" fillId="0" borderId="93" xfId="0" applyFont="1" applyBorder="1" applyAlignment="1">
      <alignment horizontal="left" vertical="top"/>
    </xf>
    <xf numFmtId="0" fontId="51" fillId="0" borderId="94" xfId="0" applyFont="1" applyBorder="1" applyAlignment="1">
      <alignment horizontal="left" vertical="top"/>
    </xf>
    <xf numFmtId="0" fontId="51" fillId="0" borderId="98" xfId="0" applyFont="1" applyBorder="1" applyAlignment="1">
      <alignment horizontal="left" vertical="top"/>
    </xf>
    <xf numFmtId="0" fontId="51" fillId="0" borderId="100" xfId="0" applyFont="1" applyBorder="1" applyAlignment="1">
      <alignment horizontal="left" vertical="top" indent="3"/>
    </xf>
    <xf numFmtId="0" fontId="50" fillId="0" borderId="100" xfId="0" applyFont="1" applyBorder="1" applyAlignment="1">
      <alignment horizontal="center" vertical="top"/>
    </xf>
    <xf numFmtId="0" fontId="51" fillId="0" borderId="100" xfId="0" applyFont="1" applyBorder="1" applyAlignment="1">
      <alignment horizontal="left" vertical="top" wrapText="1"/>
    </xf>
    <xf numFmtId="0" fontId="36" fillId="0" borderId="0" xfId="0" applyFont="1" applyAlignment="1">
      <alignment horizontal="left"/>
    </xf>
    <xf numFmtId="0" fontId="36" fillId="0" borderId="0" xfId="0" applyFont="1"/>
    <xf numFmtId="0" fontId="37" fillId="0" borderId="0" xfId="0" applyFont="1"/>
    <xf numFmtId="166" fontId="19" fillId="0" borderId="0" xfId="0" applyNumberFormat="1" applyFont="1" applyAlignment="1">
      <alignment horizontal="right" indent="1"/>
    </xf>
    <xf numFmtId="0" fontId="37" fillId="0" borderId="0" xfId="0" applyFont="1" applyAlignment="1">
      <alignment horizontal="left" indent="1"/>
    </xf>
    <xf numFmtId="0" fontId="19" fillId="34" borderId="64" xfId="0" applyFont="1" applyFill="1" applyBorder="1" applyAlignment="1">
      <alignment horizontal="center"/>
    </xf>
    <xf numFmtId="0" fontId="19" fillId="34" borderId="65" xfId="0" applyFont="1" applyFill="1" applyBorder="1" applyAlignment="1">
      <alignment horizontal="center"/>
    </xf>
    <xf numFmtId="0" fontId="45" fillId="0" borderId="58" xfId="0" applyFont="1" applyBorder="1" applyAlignment="1">
      <alignment horizontal="left" vertical="center" wrapText="1"/>
    </xf>
    <xf numFmtId="0" fontId="45" fillId="0" borderId="0" xfId="0" applyFont="1" applyAlignment="1">
      <alignment horizontal="left" vertical="center" wrapText="1"/>
    </xf>
    <xf numFmtId="0" fontId="19" fillId="33" borderId="72" xfId="0" applyFont="1" applyFill="1" applyBorder="1" applyAlignment="1">
      <alignment horizontal="center"/>
    </xf>
    <xf numFmtId="0" fontId="19" fillId="33" borderId="73" xfId="0" applyFont="1" applyFill="1" applyBorder="1" applyAlignment="1">
      <alignment horizontal="center"/>
    </xf>
    <xf numFmtId="0" fontId="19" fillId="33" borderId="74" xfId="0" applyFont="1" applyFill="1" applyBorder="1" applyAlignment="1">
      <alignment horizontal="center"/>
    </xf>
    <xf numFmtId="0" fontId="37" fillId="33" borderId="71" xfId="0" applyFont="1" applyFill="1" applyBorder="1" applyAlignment="1">
      <alignment horizontal="left" vertical="top"/>
    </xf>
    <xf numFmtId="0" fontId="37" fillId="33" borderId="75" xfId="0" applyFont="1" applyFill="1" applyBorder="1" applyAlignment="1">
      <alignment horizontal="left" vertical="top"/>
    </xf>
    <xf numFmtId="3" fontId="43" fillId="0" borderId="51" xfId="0" applyNumberFormat="1" applyFont="1" applyBorder="1" applyAlignment="1">
      <alignment horizontal="right" vertical="center" wrapText="1"/>
    </xf>
    <xf numFmtId="3" fontId="43" fillId="0" borderId="52" xfId="0" applyNumberFormat="1" applyFont="1" applyBorder="1" applyAlignment="1">
      <alignment horizontal="right" vertical="center" wrapText="1"/>
    </xf>
    <xf numFmtId="0" fontId="43" fillId="0" borderId="51" xfId="0" applyFont="1" applyBorder="1" applyAlignment="1">
      <alignment horizontal="right" vertical="center" wrapText="1"/>
    </xf>
    <xf numFmtId="0" fontId="43" fillId="0" borderId="52" xfId="0" applyFont="1" applyBorder="1" applyAlignment="1">
      <alignment horizontal="right" vertical="center" wrapText="1"/>
    </xf>
    <xf numFmtId="0" fontId="41" fillId="43" borderId="51" xfId="0" applyFont="1" applyFill="1" applyBorder="1" applyAlignment="1">
      <alignment horizontal="left" vertical="center" wrapText="1"/>
    </xf>
    <xf numFmtId="0" fontId="41" fillId="43" borderId="52" xfId="0" applyFont="1" applyFill="1" applyBorder="1" applyAlignment="1">
      <alignment horizontal="left" vertical="center" wrapText="1"/>
    </xf>
    <xf numFmtId="0" fontId="41" fillId="43" borderId="57" xfId="0" applyFont="1" applyFill="1" applyBorder="1" applyAlignment="1">
      <alignment horizontal="left" vertical="center" wrapText="1"/>
    </xf>
    <xf numFmtId="0" fontId="41" fillId="43" borderId="53" xfId="0" applyFont="1" applyFill="1" applyBorder="1" applyAlignment="1">
      <alignment horizontal="left" vertical="center" wrapText="1"/>
    </xf>
    <xf numFmtId="0" fontId="18" fillId="33" borderId="15" xfId="0" applyFont="1" applyFill="1" applyBorder="1" applyAlignment="1">
      <alignment horizontal="center"/>
    </xf>
    <xf numFmtId="0" fontId="18" fillId="33" borderId="16" xfId="0" applyFont="1" applyFill="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18" fillId="0" borderId="41" xfId="0" applyFont="1" applyBorder="1" applyAlignment="1">
      <alignment horizontal="center"/>
    </xf>
  </cellXfs>
  <cellStyles count="10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Hyperlink 2" xfId="102" xr:uid="{2A2D30BF-3F60-4626-9BCD-FCDA1D908B90}"/>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DE963A32-C35A-46CE-82CA-D3B820CB4F12}"/>
    <cellStyle name="Standaard 3" xfId="103" xr:uid="{3C9A20CA-DB41-4CF8-B309-B24B187E3DFD}"/>
    <cellStyle name="style1712668098260" xfId="45" xr:uid="{4D5EAF87-FF2E-44B4-8C57-EB7450BC101F}"/>
    <cellStyle name="style1712668098515" xfId="46" xr:uid="{BC14A98C-C4A9-4120-A5C1-2A7146D63A32}"/>
    <cellStyle name="style1712668098770" xfId="44" xr:uid="{49E16287-CA70-4FF0-86D9-1983F65EE9BB}"/>
    <cellStyle name="style1712668099040" xfId="47" xr:uid="{BECAAB2D-A982-45B8-B27B-5498004321BB}"/>
    <cellStyle name="style1712668099280" xfId="48" xr:uid="{3C6923DF-65FA-4FD9-AE82-8880711A2F37}"/>
    <cellStyle name="style1712668099430" xfId="49" xr:uid="{9E7C71C2-31E7-40D8-AAA5-50C47E50156C}"/>
    <cellStyle name="style1712668099610" xfId="53" xr:uid="{A06ED8DB-14DA-42A5-A6BE-D2CC106AF51A}"/>
    <cellStyle name="style1712668099850" xfId="54" xr:uid="{024D8636-D502-487A-962D-E7535BCBFE96}"/>
    <cellStyle name="style1712668100060" xfId="50" xr:uid="{E8A2B068-82D7-4760-BA45-EBCB3EC6B7F2}"/>
    <cellStyle name="style1712668100270" xfId="51" xr:uid="{CDD23525-20B9-442A-AB4A-947E172DD898}"/>
    <cellStyle name="style1712668100510" xfId="52" xr:uid="{D05DB562-7216-421B-8839-707BDC70D183}"/>
    <cellStyle name="style1712668100750" xfId="57" xr:uid="{D3C87018-559C-4B91-9070-69FC32F369B8}"/>
    <cellStyle name="style1712668101303" xfId="55" xr:uid="{033569C7-6B32-4437-B7D4-1DD0C33F0648}"/>
    <cellStyle name="style1712668101697" xfId="56" xr:uid="{540C3294-8548-44A2-86B2-F4BCDB05F01D}"/>
    <cellStyle name="style1712668101887" xfId="58" xr:uid="{D6326872-A202-4646-853D-1F514B45D159}"/>
    <cellStyle name="style1712668102155" xfId="63" xr:uid="{D817D140-8E84-41EA-A2C2-9B6A7A48EBDC}"/>
    <cellStyle name="style1712668102380" xfId="59" xr:uid="{A9F90833-61F2-40B6-B3D7-C9A4DDAB9D5E}"/>
    <cellStyle name="style1712668102605" xfId="64" xr:uid="{DB11747B-25DD-4688-9062-2F40424EEE19}"/>
    <cellStyle name="style1712668102815" xfId="68" xr:uid="{B3F877B2-3A6F-4E75-BFA8-68A5187A72C7}"/>
    <cellStyle name="style1712668103032" xfId="69" xr:uid="{47F76175-D772-4DDD-8254-D5CFF2832953}"/>
    <cellStyle name="style1712668103242" xfId="60" xr:uid="{CC50BDF8-DB2D-4482-8DC2-EAEEABB7024F}"/>
    <cellStyle name="style1712668103482" xfId="61" xr:uid="{F3CEC210-3403-44BC-8BE6-B824B0656390}"/>
    <cellStyle name="style1712668103707" xfId="62" xr:uid="{6EF2D41B-C03E-4BAA-9B4F-170CEFBBFC24}"/>
    <cellStyle name="style1712668103932" xfId="65" xr:uid="{EFBAEA75-A8F7-44B5-B1CA-B73DEAE1A9AF}"/>
    <cellStyle name="style1712668104142" xfId="66" xr:uid="{1FCDE56C-3AC0-4173-9E2D-9A19F96BBB46}"/>
    <cellStyle name="style1712668104352" xfId="67" xr:uid="{68EA3715-B069-486B-8E52-686B265463D7}"/>
    <cellStyle name="style1712668104667" xfId="70" xr:uid="{7B58E483-AE8F-45DB-8F5C-F1B174C175E7}"/>
    <cellStyle name="style1712668104892" xfId="71" xr:uid="{7C6ACB67-FA72-4C9E-8AA0-BC2EE8A3D8DC}"/>
    <cellStyle name="style1712668105102" xfId="72" xr:uid="{48616D72-1DC6-4DF2-B32E-51813D3616FB}"/>
    <cellStyle name="style1713268152946" xfId="74" xr:uid="{E82FCB5C-F428-46D0-80A7-84642AB9DDC9}"/>
    <cellStyle name="style1713268153186" xfId="75" xr:uid="{A63786E1-56E0-458B-83FB-99FA80344AE7}"/>
    <cellStyle name="style1713268153426" xfId="73" xr:uid="{23BE55A0-FDD2-4688-B5FA-A16DD14B06AF}"/>
    <cellStyle name="style1713268153714" xfId="76" xr:uid="{5CA93006-9BC3-40EC-BE45-A5E8536AF233}"/>
    <cellStyle name="style1713268153936" xfId="77" xr:uid="{28C76718-9292-4E8F-B55D-18611908ACA6}"/>
    <cellStyle name="style1713268154122" xfId="78" xr:uid="{60909496-FF42-460B-837D-14AB1ADCFD6A}"/>
    <cellStyle name="style1713268154296" xfId="82" xr:uid="{B1D16FA3-C083-455A-9D1A-AA4C73979E96}"/>
    <cellStyle name="style1713268154525" xfId="83" xr:uid="{3C0F766C-2453-40DA-A77B-4FBD4D8733C0}"/>
    <cellStyle name="style1713268154888" xfId="79" xr:uid="{0BF34E40-201D-486B-AB71-A017B9B246FB}"/>
    <cellStyle name="style1713268155113" xfId="80" xr:uid="{8E414754-0721-4E25-91B8-193DBA3110AB}"/>
    <cellStyle name="style1713268155368" xfId="81" xr:uid="{36643735-8A8C-4E85-A6B4-E1E412B583E3}"/>
    <cellStyle name="style1713268155593" xfId="86" xr:uid="{7262C81D-864C-45C0-BF71-598452539692}"/>
    <cellStyle name="style1713268155833" xfId="84" xr:uid="{2C3CC980-8BD1-454F-8F4E-14966BAB9D95}"/>
    <cellStyle name="style1713268156058" xfId="85" xr:uid="{E0A33384-CBB6-4C0F-8D06-5D897A19EC32}"/>
    <cellStyle name="style1713268156283" xfId="87" xr:uid="{14018238-4683-4093-94C4-91A4759E826B}"/>
    <cellStyle name="style1713268156553" xfId="92" xr:uid="{853375A1-92C6-4EF6-AE71-C82804BF00F6}"/>
    <cellStyle name="style1713268157003" xfId="88" xr:uid="{4FE4881A-3B10-492A-9F87-AABDC211AA3A}"/>
    <cellStyle name="style1713268157378" xfId="93" xr:uid="{76369290-A0C4-47FA-9241-86A6C4ECD26D}"/>
    <cellStyle name="style1713268157573" xfId="97" xr:uid="{DBCAFFEF-CC36-41C5-9750-328D0B6DE0FB}"/>
    <cellStyle name="style1713268157768" xfId="98" xr:uid="{5828E75B-73CF-4E9C-86A2-B6390C7E0590}"/>
    <cellStyle name="style1713268157978" xfId="89" xr:uid="{F7C43CCF-08CE-48CF-A6DA-E997C3ACAA31}"/>
    <cellStyle name="style1713268158218" xfId="90" xr:uid="{8EC89279-C439-4784-9AE6-F653044EBE80}"/>
    <cellStyle name="style1713268158428" xfId="91" xr:uid="{4BE29DD3-0AD3-4F44-8063-E4A1A1D2E5C5}"/>
    <cellStyle name="style1713268158668" xfId="94" xr:uid="{4C1523B4-E5F5-4B1D-801F-43DB4EB19D69}"/>
    <cellStyle name="style1713268158938" xfId="95" xr:uid="{92A65409-1882-44B1-BA01-1146CA054884}"/>
    <cellStyle name="style1713268159133" xfId="96" xr:uid="{249F0709-688F-4A60-9010-732675F0A24E}"/>
    <cellStyle name="style1713268159478" xfId="99" xr:uid="{287A7A6E-59B4-4D18-90ED-134D358C2057}"/>
    <cellStyle name="style1713268159703" xfId="100" xr:uid="{E3FAFF56-5563-477D-B6E1-24105518CC37}"/>
    <cellStyle name="style1713268159898" xfId="101" xr:uid="{ABFC6BD6-C85E-40D6-B5F6-5133A21BE275}"/>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150">
    <dxf>
      <numFmt numFmtId="169" formatCode="&quot;&quot;"/>
    </dxf>
    <dxf>
      <numFmt numFmtId="170" formatCode="&quot;n.t.b.&quot;"/>
    </dxf>
    <dxf>
      <font>
        <b val="0"/>
        <i val="0"/>
        <strike val="0"/>
        <condense val="0"/>
        <extend val="0"/>
        <outline val="0"/>
        <shadow val="0"/>
        <u val="none"/>
        <vertAlign val="baseline"/>
        <sz val="10"/>
        <color theme="1"/>
        <name val="Calibri"/>
        <family val="2"/>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border diagonalUp="0" diagonalDown="0" outline="0">
        <left style="thin">
          <color auto="1"/>
        </left>
        <right style="medium">
          <color indexed="64"/>
        </right>
        <top style="thin">
          <color auto="1"/>
        </top>
        <bottom style="thin">
          <color auto="1"/>
        </bottom>
      </border>
    </dxf>
    <dxf>
      <font>
        <b/>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top style="medium">
          <color indexed="64"/>
        </top>
        <bottom style="medium">
          <color indexed="64"/>
        </bottom>
      </border>
    </dxf>
    <dxf>
      <font>
        <strike val="0"/>
        <outline val="0"/>
        <shadow val="0"/>
        <u val="none"/>
        <vertAlign val="baseline"/>
        <name val="Calibri"/>
        <family val="2"/>
        <scheme val="minor"/>
      </font>
    </dxf>
    <dxf>
      <font>
        <strike val="0"/>
        <outline val="0"/>
        <shadow val="0"/>
        <u val="none"/>
        <vertAlign val="baseline"/>
        <name val="Calibri"/>
        <family val="2"/>
        <scheme val="minor"/>
      </font>
    </dxf>
    <dxf>
      <font>
        <b val="0"/>
        <i val="0"/>
        <strike val="0"/>
        <condense val="0"/>
        <extend val="0"/>
        <outline val="0"/>
        <shadow val="0"/>
        <u val="none"/>
        <vertAlign val="baseline"/>
        <sz val="10"/>
        <color theme="1"/>
        <name val="Calibri"/>
        <family val="2"/>
        <scheme val="minor"/>
      </font>
      <fill>
        <patternFill patternType="solid">
          <fgColor indexed="64"/>
          <bgColor rgb="FFFFFF00"/>
        </patternFill>
      </fill>
      <alignment horizontal="left" vertical="center" textRotation="0" wrapText="1" indent="0" justifyLastLine="0" shrinkToFit="0" readingOrder="0"/>
      <border diagonalUp="0" diagonalDown="0" outline="0">
        <left style="medium">
          <color rgb="FF99ABBF"/>
        </left>
        <right/>
        <top/>
        <bottom style="medium">
          <color rgb="FF99ABBF"/>
        </bottom>
      </border>
    </dxf>
    <dxf>
      <font>
        <b val="0"/>
        <i val="0"/>
        <strike val="0"/>
        <condense val="0"/>
        <extend val="0"/>
        <outline val="0"/>
        <shadow val="0"/>
        <u val="none"/>
        <vertAlign val="baseline"/>
        <sz val="10"/>
        <color rgb="FF000000"/>
        <name val="Calibri"/>
        <family val="2"/>
        <scheme val="minor"/>
      </font>
      <fill>
        <patternFill patternType="solid">
          <fgColor indexed="64"/>
          <bgColor rgb="FFFFFF00"/>
        </patternFill>
      </fill>
      <alignment horizontal="left" vertical="center" textRotation="0" wrapText="1" indent="0" justifyLastLine="0" shrinkToFit="0" readingOrder="0"/>
      <border diagonalUp="0" diagonalDown="0" outline="0">
        <left style="medium">
          <color rgb="FF99ABBF"/>
        </left>
        <right style="medium">
          <color rgb="FF99ABBF"/>
        </right>
        <top/>
        <bottom style="medium">
          <color rgb="FF99ABBF"/>
        </bottom>
      </border>
    </dxf>
    <dxf>
      <font>
        <b val="0"/>
        <i val="0"/>
        <strike val="0"/>
        <condense val="0"/>
        <extend val="0"/>
        <outline val="0"/>
        <shadow val="0"/>
        <u val="none"/>
        <vertAlign val="baseline"/>
        <sz val="10"/>
        <color rgb="FF000000"/>
        <name val="Calibri"/>
        <family val="2"/>
        <scheme val="minor"/>
      </font>
      <fill>
        <patternFill patternType="solid">
          <fgColor indexed="64"/>
          <bgColor rgb="FFFFFF00"/>
        </patternFill>
      </fill>
      <alignment horizontal="left" vertical="center" textRotation="0" wrapText="1" indent="0" justifyLastLine="0" shrinkToFit="0" readingOrder="0"/>
      <border diagonalUp="0" diagonalDown="0" outline="0">
        <left style="medium">
          <color rgb="FF99ABBF"/>
        </left>
        <right style="medium">
          <color rgb="FF99ABBF"/>
        </right>
        <top/>
        <bottom style="medium">
          <color rgb="FF99ABBF"/>
        </bottom>
      </border>
    </dxf>
    <dxf>
      <font>
        <b val="0"/>
        <i val="0"/>
        <strike val="0"/>
        <condense val="0"/>
        <extend val="0"/>
        <outline val="0"/>
        <shadow val="0"/>
        <u val="none"/>
        <vertAlign val="baseline"/>
        <sz val="10"/>
        <color rgb="FF000000"/>
        <name val="Calibri"/>
        <family val="2"/>
        <scheme val="minor"/>
      </font>
      <fill>
        <patternFill patternType="solid">
          <fgColor indexed="64"/>
          <bgColor rgb="FFFFFF00"/>
        </patternFill>
      </fill>
      <alignment horizontal="left" vertical="center" textRotation="0" wrapText="1" indent="0" justifyLastLine="0" shrinkToFit="0" readingOrder="0"/>
      <border diagonalUp="0" diagonalDown="0" outline="0">
        <left/>
        <right/>
        <top/>
        <bottom style="medium">
          <color rgb="FF99ABBF"/>
        </bottom>
      </border>
    </dxf>
    <dxf>
      <font>
        <strike val="0"/>
        <outline val="0"/>
        <shadow val="0"/>
        <vertAlign val="baseline"/>
        <sz val="10"/>
        <name val="Calibri"/>
        <family val="2"/>
        <scheme val="minor"/>
      </font>
    </dxf>
    <dxf>
      <border outline="0">
        <right style="medium">
          <color rgb="FF99ABBF"/>
        </right>
        <top style="medium">
          <color rgb="FF99ABBF"/>
        </top>
      </border>
    </dxf>
    <dxf>
      <font>
        <strike val="0"/>
        <outline val="0"/>
        <shadow val="0"/>
        <vertAlign val="baseline"/>
        <sz val="10"/>
        <name val="Calibri"/>
        <family val="2"/>
        <scheme val="minor"/>
      </font>
    </dxf>
    <dxf>
      <border outline="0">
        <bottom style="medium">
          <color rgb="FF99ABBF"/>
        </bottom>
      </border>
    </dxf>
    <dxf>
      <font>
        <strike val="0"/>
        <outline val="0"/>
        <shadow val="0"/>
        <vertAlign val="baseline"/>
        <sz val="10"/>
        <name val="Calibri"/>
        <family val="2"/>
        <scheme val="minor"/>
      </font>
    </dxf>
    <dxf>
      <font>
        <b val="0"/>
        <i val="0"/>
        <strike val="0"/>
        <condense val="0"/>
        <extend val="0"/>
        <outline val="0"/>
        <shadow val="0"/>
        <u val="none"/>
        <vertAlign val="baseline"/>
        <sz val="10"/>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dxf>
    <dxf>
      <font>
        <strike val="0"/>
        <outline val="0"/>
        <shadow val="0"/>
        <vertAlign val="baseline"/>
        <sz val="10"/>
        <name val="Calibri"/>
        <family val="2"/>
        <scheme val="minor"/>
      </font>
    </dxf>
    <dxf>
      <font>
        <b val="0"/>
        <i val="0"/>
        <strike val="0"/>
        <condense val="0"/>
        <extend val="0"/>
        <outline val="0"/>
        <shadow val="0"/>
        <u val="none"/>
        <vertAlign val="baseline"/>
        <sz val="10"/>
        <color theme="1"/>
        <name val="Calibri"/>
        <family val="2"/>
        <scheme val="minor"/>
      </font>
      <numFmt numFmtId="167" formatCode="0.0"/>
    </dxf>
    <dxf>
      <font>
        <b val="0"/>
        <i val="0"/>
        <strike val="0"/>
        <condense val="0"/>
        <extend val="0"/>
        <outline val="0"/>
        <shadow val="0"/>
        <u val="none"/>
        <vertAlign val="baseline"/>
        <sz val="10"/>
        <color theme="1"/>
        <name val="Calibri"/>
        <family val="2"/>
        <scheme val="minor"/>
      </font>
      <numFmt numFmtId="164" formatCode="#,##0.0"/>
    </dxf>
    <dxf>
      <font>
        <b val="0"/>
        <i val="0"/>
        <strike val="0"/>
        <condense val="0"/>
        <extend val="0"/>
        <outline val="0"/>
        <shadow val="0"/>
        <u val="none"/>
        <vertAlign val="baseline"/>
        <sz val="10"/>
        <color theme="1"/>
        <name val="Calibri"/>
        <family val="2"/>
        <scheme val="minor"/>
      </font>
      <numFmt numFmtId="3" formatCode="#,##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7" formatCode="0.0"/>
    </dxf>
    <dxf>
      <font>
        <b val="0"/>
        <i val="0"/>
        <strike val="0"/>
        <condense val="0"/>
        <extend val="0"/>
        <outline val="0"/>
        <shadow val="0"/>
        <u val="none"/>
        <vertAlign val="baseline"/>
        <sz val="10"/>
        <color theme="1"/>
        <name val="Calibri"/>
        <family val="2"/>
        <scheme val="minor"/>
      </font>
      <numFmt numFmtId="3" formatCode="#,##0"/>
    </dxf>
    <dxf>
      <font>
        <b val="0"/>
        <i val="0"/>
        <strike val="0"/>
        <condense val="0"/>
        <extend val="0"/>
        <outline val="0"/>
        <shadow val="0"/>
        <u val="none"/>
        <vertAlign val="baseline"/>
        <sz val="10"/>
        <color theme="1"/>
        <name val="Calibri"/>
        <family val="2"/>
        <scheme val="minor"/>
      </font>
      <numFmt numFmtId="3" formatCode="#,##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b/>
        <i val="0"/>
        <strike val="0"/>
        <condense val="0"/>
        <extend val="0"/>
        <outline val="0"/>
        <shadow val="0"/>
        <u val="none"/>
        <vertAlign val="baseline"/>
        <sz val="10"/>
        <color theme="1"/>
        <name val="Calibri"/>
        <family val="2"/>
        <scheme val="minor"/>
      </font>
      <numFmt numFmtId="166" formatCode="&quot;€&quot;\ #,##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border outline="0">
        <right style="medium">
          <color indexed="64"/>
        </right>
      </border>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6" formatCode="&quot;€&quot;\ #,##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border outline="0">
        <right style="medium">
          <color indexed="64"/>
        </right>
      </border>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66" formatCode="&quot;€&quot;\ #,##0"/>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9"/>
        <color rgb="FF333333"/>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dxf>
    <dxf>
      <font>
        <b val="0"/>
        <i val="0"/>
        <strike val="0"/>
        <condense val="0"/>
        <extend val="0"/>
        <outline val="0"/>
        <shadow val="0"/>
        <u val="none"/>
        <vertAlign val="baseline"/>
        <sz val="10"/>
        <color rgb="FF000000"/>
        <name val="Calibri"/>
        <family val="2"/>
        <scheme val="minor"/>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66" formatCode="&quot;€&quot;\ #,##0"/>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9"/>
        <color rgb="FF333333"/>
        <name val="Calibri"/>
        <family val="2"/>
        <scheme val="minor"/>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dxf>
    <dxf>
      <font>
        <b val="0"/>
        <i val="0"/>
        <strike val="0"/>
        <condense val="0"/>
        <extend val="0"/>
        <outline val="0"/>
        <shadow val="0"/>
        <u val="none"/>
        <vertAlign val="baseline"/>
        <sz val="10"/>
        <color rgb="FF000000"/>
        <name val="Calibri"/>
        <family val="2"/>
        <scheme val="minor"/>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9"/>
        <color rgb="FF333333"/>
        <name val="Calibri"/>
        <family val="2"/>
        <scheme val="minor"/>
      </font>
      <numFmt numFmtId="3" formatCode="#,##0"/>
      <fill>
        <patternFill patternType="solid">
          <fgColor rgb="FFFFFFFF"/>
          <bgColor rgb="FFFFFFFF"/>
        </patternFill>
      </fill>
      <alignment horizontal="right" vertical="bottom" textRotation="0" wrapText="0" indent="0" justifyLastLine="0" shrinkToFit="0" readingOrder="0"/>
      <border diagonalUp="0" diagonalDown="0">
        <left style="thin">
          <color rgb="FFDDDDDD"/>
        </left>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numFmt numFmtId="30" formatCode="@"/>
      <fill>
        <patternFill patternType="solid">
          <fgColor rgb="FFFFFFFF"/>
          <bgColor rgb="FFFFFFFF"/>
        </patternFill>
      </fill>
      <alignment horizontal="lef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fill>
        <patternFill patternType="solid">
          <fgColor rgb="FFFFFFFF"/>
          <bgColor rgb="FFFFFFFF"/>
        </patternFill>
      </fill>
      <alignment horizontal="righ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fill>
        <patternFill patternType="solid">
          <fgColor rgb="FFFFFFFF"/>
          <bgColor rgb="FFFFFFFF"/>
        </patternFill>
      </fill>
      <alignment horizontal="righ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fill>
        <patternFill patternType="solid">
          <fgColor rgb="FFFFFFFF"/>
          <bgColor rgb="FFFFFFFF"/>
        </patternFill>
      </fill>
      <alignment horizontal="righ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numFmt numFmtId="30" formatCode="@"/>
      <fill>
        <patternFill patternType="solid">
          <fgColor rgb="FFFFFFFF"/>
          <bgColor rgb="FFFFFFFF"/>
        </patternFill>
      </fill>
      <alignment horizontal="lef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val="0"/>
        <i val="0"/>
        <strike val="0"/>
        <condense val="0"/>
        <extend val="0"/>
        <outline val="0"/>
        <shadow val="0"/>
        <u val="none"/>
        <vertAlign val="baseline"/>
        <sz val="9"/>
        <color rgb="FF333333"/>
        <name val="Calibri"/>
        <family val="2"/>
        <scheme val="minor"/>
      </font>
      <numFmt numFmtId="1" formatCode="0"/>
      <fill>
        <patternFill patternType="solid">
          <fgColor rgb="FFFFFFFF"/>
          <bgColor rgb="FFFFFFFF"/>
        </patternFill>
      </fill>
      <alignment horizontal="right" vertical="bottom" textRotation="0" wrapText="0" indent="0" justifyLastLine="0" shrinkToFit="0" readingOrder="0"/>
      <border diagonalUp="0" diagonalDown="0">
        <left/>
        <right style="thin">
          <color rgb="FFDDDDDD"/>
        </right>
        <top style="thin">
          <color rgb="FFDDDDDD"/>
        </top>
        <bottom style="thin">
          <color rgb="FFDDDDDD"/>
        </bottom>
        <vertical/>
        <horizontal/>
      </border>
    </dxf>
    <dxf>
      <border outline="0">
        <top style="thin">
          <color rgb="FFDDDDDD"/>
        </top>
      </border>
    </dxf>
    <dxf>
      <border outline="0">
        <left style="thin">
          <color rgb="FFDDDDDD"/>
        </left>
        <right style="thin">
          <color rgb="FFDDDDDD"/>
        </right>
        <top style="thin">
          <color rgb="FFDDDDDD"/>
        </top>
        <bottom style="thin">
          <color rgb="FFDDDDDD"/>
        </bottom>
      </border>
    </dxf>
    <dxf>
      <font>
        <b val="0"/>
        <i val="0"/>
        <strike val="0"/>
        <condense val="0"/>
        <extend val="0"/>
        <outline val="0"/>
        <shadow val="0"/>
        <u val="none"/>
        <vertAlign val="baseline"/>
        <sz val="9"/>
        <color rgb="FF333333"/>
        <name val="Calibri"/>
        <family val="2"/>
        <scheme val="minor"/>
      </font>
      <fill>
        <patternFill patternType="solid">
          <fgColor rgb="FFFFFFFF"/>
          <bgColor rgb="FFFFFFFF"/>
        </patternFill>
      </fill>
      <alignment horizontal="right" vertical="bottom" textRotation="0" wrapText="0" indent="0" justifyLastLine="0" shrinkToFit="0" readingOrder="0"/>
    </dxf>
    <dxf>
      <border outline="0">
        <bottom style="thin">
          <color rgb="FFDDDDDD"/>
        </bottom>
      </border>
    </dxf>
    <dxf>
      <font>
        <b val="0"/>
        <i val="0"/>
        <strike val="0"/>
        <condense val="0"/>
        <extend val="0"/>
        <outline val="0"/>
        <shadow val="0"/>
        <u val="none"/>
        <vertAlign val="baseline"/>
        <sz val="9"/>
        <color rgb="FF333333"/>
        <name val="Calibri"/>
        <family val="2"/>
        <scheme val="minor"/>
      </font>
      <numFmt numFmtId="30" formatCode="@"/>
      <fill>
        <patternFill patternType="solid">
          <fgColor rgb="FFFFFFFF"/>
          <bgColor rgb="FFF7F7F7"/>
        </patternFill>
      </fill>
      <alignment horizontal="left" vertical="bottom" textRotation="0" wrapText="0" indent="0" justifyLastLine="0" shrinkToFit="0" readingOrder="0"/>
      <border diagonalUp="0" diagonalDown="0" outline="0">
        <left style="thin">
          <color rgb="FFDDDDDD"/>
        </left>
        <right style="thin">
          <color rgb="FFDDDDDD"/>
        </right>
        <top/>
        <bottom/>
      </border>
    </dxf>
    <dxf>
      <font>
        <b val="0"/>
        <i val="0"/>
        <strike val="0"/>
        <condense val="0"/>
        <extend val="0"/>
        <outline val="0"/>
        <shadow val="0"/>
        <u val="none"/>
        <vertAlign val="baseline"/>
        <sz val="10"/>
        <color theme="1"/>
        <name val="Calibri"/>
        <family val="2"/>
        <scheme val="minor"/>
      </font>
      <numFmt numFmtId="166" formatCode="&quot;€&quot;\ #,##0"/>
      <alignment horizontal="right" vertical="bottom" textRotation="0" wrapText="0" indent="2"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numFmt numFmtId="166" formatCode="&quot;€&quot;\ #,##0"/>
      <alignment horizontal="right" vertical="bottom" textRotation="0" wrapText="0" relative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theme="1"/>
        <name val="Calibri"/>
        <family val="2"/>
        <scheme val="minor"/>
      </font>
      <numFmt numFmtId="164" formatCode="#,##0.0"/>
      <fill>
        <patternFill patternType="none">
          <fgColor indexed="64"/>
          <bgColor indexed="65"/>
        </patternFill>
      </fill>
      <alignment horizontal="right" vertical="bottom" textRotation="0" wrapText="0" indent="3"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numFmt numFmtId="164" formatCode="#,##0.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theme="1"/>
        <name val="Calibri"/>
        <family val="2"/>
        <scheme val="minor"/>
      </font>
      <numFmt numFmtId="166" formatCode="&quot;€&quot;\ #,##0"/>
      <fill>
        <patternFill patternType="none">
          <fgColor indexed="64"/>
          <bgColor indexed="65"/>
        </patternFill>
      </fill>
      <alignment horizontal="right" vertical="bottom" textRotation="0" wrapText="0" indent="4"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2A5F"/>
        <name val="Calibri"/>
        <family val="2"/>
        <scheme val="minor"/>
      </font>
      <numFmt numFmtId="166" formatCode="&quot;€&quot;\ #,##0"/>
      <fill>
        <patternFill patternType="none">
          <fgColor indexed="64"/>
          <bgColor indexed="65"/>
        </patternFill>
      </fill>
      <alignment horizontal="right" vertical="center" textRotation="0" wrapText="1" relativeIndent="-1" justifyLastLine="0" shrinkToFit="0" readingOrder="0"/>
      <border diagonalUp="0" diagonalDown="0" outline="0">
        <left/>
        <right/>
        <top/>
        <bottom style="medium">
          <color rgb="FFD0D9E1"/>
        </bottom>
      </border>
    </dxf>
    <dxf>
      <font>
        <b val="0"/>
        <i val="0"/>
        <strike val="0"/>
        <condense val="0"/>
        <extend val="0"/>
        <outline val="0"/>
        <shadow val="0"/>
        <u val="none"/>
        <vertAlign val="baseline"/>
        <sz val="10"/>
        <color theme="1"/>
        <name val="Calibri"/>
        <family val="2"/>
        <scheme val="minor"/>
      </font>
      <numFmt numFmtId="166" formatCode="&quot;€&quot;\ #,##0"/>
      <fill>
        <patternFill patternType="none">
          <fgColor indexed="64"/>
          <bgColor indexed="65"/>
        </patternFill>
      </fill>
      <alignment horizontal="right" vertical="bottom" textRotation="0" wrapText="0" indent="2"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numFmt numFmtId="166" formatCode="&quot;€&quot;\ #,##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rgb="FF002A5F"/>
        <name val="Calibri"/>
        <family val="2"/>
        <scheme val="minor"/>
      </font>
      <numFmt numFmtId="164" formatCode="#,##0.0"/>
      <fill>
        <patternFill patternType="none">
          <fgColor indexed="64"/>
          <bgColor indexed="65"/>
        </patternFill>
      </fill>
      <alignment horizontal="right" vertical="center" textRotation="0" wrapText="1" indent="4"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2A5F"/>
        <name val="Calibri"/>
        <family val="2"/>
        <scheme val="minor"/>
      </font>
      <numFmt numFmtId="164" formatCode="#,##0.0"/>
      <fill>
        <patternFill patternType="none">
          <fgColor indexed="64"/>
          <bgColor indexed="65"/>
        </patternFill>
      </fill>
      <alignment horizontal="right" vertical="center" textRotation="0" wrapText="1" relativeIndent="-1"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right" vertical="center" textRotation="0" wrapText="1" indent="4"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right" vertical="center" textRotation="0" wrapText="1" indent="4" justifyLastLine="0" shrinkToFit="0" readingOrder="0"/>
      <border diagonalUp="0" diagonalDown="0" outline="0">
        <left style="thin">
          <color indexed="64"/>
        </left>
        <right style="thin">
          <color indexed="64"/>
        </right>
        <top/>
        <bottom style="medium">
          <color rgb="FFD0D9E1"/>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2A5F"/>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medium">
          <color rgb="FFD0D9E1"/>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medium">
          <color rgb="FFD0D9E1"/>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rgb="FF002A5F"/>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medium">
          <color rgb="FFD0D9E1"/>
        </bottom>
      </border>
    </dxf>
    <dxf>
      <border outline="0">
        <left style="thin">
          <color indexed="64"/>
        </left>
      </border>
    </dxf>
    <dxf>
      <font>
        <strike val="0"/>
        <outline val="0"/>
        <shadow val="0"/>
        <u val="none"/>
        <vertAlign val="baseline"/>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knop_op_forfait" lockText="1"/>
</file>

<file path=xl/ctrlProps/ctrlProp2.xml><?xml version="1.0" encoding="utf-8"?>
<formControlPr xmlns="http://schemas.microsoft.com/office/spreadsheetml/2009/9/main" objectType="CheckBox" checked="Checked" fmlaLink="knop_onder_forfait" lockText="1"/>
</file>

<file path=xl/ctrlProps/ctrlProp3.xml><?xml version="1.0" encoding="utf-8"?>
<formControlPr xmlns="http://schemas.microsoft.com/office/spreadsheetml/2009/9/main" objectType="CheckBox" checked="Checked" fmlaLink="knop_boven_forfait" lockText="1"/>
</file>

<file path=xl/ctrlProps/ctrlProp4.xml><?xml version="1.0" encoding="utf-8"?>
<formControlPr xmlns="http://schemas.microsoft.com/office/spreadsheetml/2009/9/main" objectType="CheckBox" fmlaLink="knop_nul_forfait" lockText="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firstButton="1" fmlaLink="$J$27" lockText="1"/>
</file>

<file path=xl/ctrlProps/ctrlProp7.xml><?xml version="1.0" encoding="utf-8"?>
<formControlPr xmlns="http://schemas.microsoft.com/office/spreadsheetml/2009/9/main" objectType="Radio" checked="Checked" lockText="1"/>
</file>

<file path=xl/ctrlProps/ctrlProp8.xml><?xml version="1.0" encoding="utf-8"?>
<formControlPr xmlns="http://schemas.microsoft.com/office/spreadsheetml/2009/9/main" objectType="CheckBox" checked="Checked" fmlaLink="knop_toeslagen" lockText="1"/>
</file>

<file path=xl/ctrlProps/ctrlProp9.xml><?xml version="1.0" encoding="utf-8"?>
<formControlPr xmlns="http://schemas.microsoft.com/office/spreadsheetml/2009/9/main" objectType="CheckBox" fmlaLink="knop_opvolging" lockText="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13</xdr:row>
          <xdr:rowOff>12700</xdr:rowOff>
        </xdr:from>
        <xdr:to>
          <xdr:col>1</xdr:col>
          <xdr:colOff>450850</xdr:colOff>
          <xdr:row>14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14</xdr:row>
          <xdr:rowOff>12700</xdr:rowOff>
        </xdr:from>
        <xdr:to>
          <xdr:col>1</xdr:col>
          <xdr:colOff>450850</xdr:colOff>
          <xdr:row>14</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15</xdr:row>
          <xdr:rowOff>19050</xdr:rowOff>
        </xdr:from>
        <xdr:to>
          <xdr:col>1</xdr:col>
          <xdr:colOff>450850</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16</xdr:row>
          <xdr:rowOff>19050</xdr:rowOff>
        </xdr:from>
        <xdr:to>
          <xdr:col>1</xdr:col>
          <xdr:colOff>450850</xdr:colOff>
          <xdr:row>17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3</xdr:col>
          <xdr:colOff>819150</xdr:colOff>
          <xdr:row>30</xdr:row>
          <xdr:rowOff>95250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26</xdr:row>
          <xdr:rowOff>76200</xdr:rowOff>
        </xdr:from>
        <xdr:to>
          <xdr:col>2</xdr:col>
          <xdr:colOff>165100</xdr:colOff>
          <xdr:row>27</xdr:row>
          <xdr:rowOff>19050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27</xdr:row>
          <xdr:rowOff>76200</xdr:rowOff>
        </xdr:from>
        <xdr:to>
          <xdr:col>2</xdr:col>
          <xdr:colOff>165100</xdr:colOff>
          <xdr:row>28</xdr:row>
          <xdr:rowOff>19050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419100</xdr:colOff>
      <xdr:row>15</xdr:row>
      <xdr:rowOff>133350</xdr:rowOff>
    </xdr:from>
    <xdr:to>
      <xdr:col>6</xdr:col>
      <xdr:colOff>600075</xdr:colOff>
      <xdr:row>15</xdr:row>
      <xdr:rowOff>133350</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a:off x="4610100" y="1143000"/>
          <a:ext cx="10763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146050</xdr:colOff>
          <xdr:row>20</xdr:row>
          <xdr:rowOff>12700</xdr:rowOff>
        </xdr:from>
        <xdr:to>
          <xdr:col>1</xdr:col>
          <xdr:colOff>450850</xdr:colOff>
          <xdr:row>21</xdr:row>
          <xdr:rowOff>31750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21</xdr:row>
          <xdr:rowOff>12700</xdr:rowOff>
        </xdr:from>
        <xdr:to>
          <xdr:col>1</xdr:col>
          <xdr:colOff>450850</xdr:colOff>
          <xdr:row>22</xdr:row>
          <xdr:rowOff>31750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xdr:row>
      <xdr:rowOff>0</xdr:rowOff>
    </xdr:from>
    <xdr:to>
      <xdr:col>22</xdr:col>
      <xdr:colOff>533400</xdr:colOff>
      <xdr:row>34</xdr:row>
      <xdr:rowOff>824442</xdr:rowOff>
    </xdr:to>
    <xdr:pic>
      <xdr:nvPicPr>
        <xdr:cNvPr id="2" name="Afbeelding 1">
          <a:extLst>
            <a:ext uri="{FF2B5EF4-FFF2-40B4-BE49-F238E27FC236}">
              <a16:creationId xmlns:a16="http://schemas.microsoft.com/office/drawing/2014/main" id="{7FCF2596-85FE-816D-B654-2C90D74BC4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30600" y="323850"/>
          <a:ext cx="6629400" cy="692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xdr:colOff>
      <xdr:row>34</xdr:row>
      <xdr:rowOff>658282</xdr:rowOff>
    </xdr:from>
    <xdr:to>
      <xdr:col>22</xdr:col>
      <xdr:colOff>542925</xdr:colOff>
      <xdr:row>38</xdr:row>
      <xdr:rowOff>409574</xdr:rowOff>
    </xdr:to>
    <xdr:pic>
      <xdr:nvPicPr>
        <xdr:cNvPr id="3" name="Afbeelding 2">
          <a:extLst>
            <a:ext uri="{FF2B5EF4-FFF2-40B4-BE49-F238E27FC236}">
              <a16:creationId xmlns:a16="http://schemas.microsoft.com/office/drawing/2014/main" id="{17205778-999B-96AE-E013-C5273C04EE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27525" y="6955365"/>
          <a:ext cx="6883400" cy="1211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 Stapel" id="{A9CC12DD-C869-42C8-8720-0DFBCDFE94DA}" userId="W. Stape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8E0CEDF-3429-47D2-A212-EAD70B023B9C}" name="Tabel_toeslagen" displayName="Tabel_toeslagen" ref="B5:J24" totalsRowCount="1" headerRowDxfId="149" dataDxfId="148" tableBorderDxfId="147">
  <autoFilter ref="B5:J23" xr:uid="{88E0CEDF-3429-47D2-A212-EAD70B023B9C}"/>
  <tableColumns count="9">
    <tableColumn id="1" xr3:uid="{9594B85A-EC3F-4F34-9F2E-788863216282}" name="Toeslagen" dataDxfId="146" totalsRowDxfId="145"/>
    <tableColumn id="2" xr3:uid="{DC9A881E-D637-4B09-A4DF-8095F045B24A}" name="Aanduiding in de data" dataDxfId="144" totalsRowDxfId="143"/>
    <tableColumn id="10" xr3:uid="{7B7920B1-26EF-4B34-959E-C73375E2ABE1}" name="verhoging punten" dataDxfId="142" totalsRowDxfId="141">
      <calculatedColumnFormula>IFERROR(INDEX($F$30:$F$48, MATCH(B6,($C$30:$C$48),0)), 0) * knop_toeslagen</calculatedColumnFormula>
    </tableColumn>
    <tableColumn id="3" xr3:uid="{9713C271-FA66-4155-9CC4-DD15682E6A74}" name="aantal toeslagen 2022" dataDxfId="140" totalsRowDxfId="139"/>
    <tableColumn id="8" xr3:uid="{4A11F33B-0B49-4F3B-B68A-AAEC32A5D131}" name="extra punten toesl. door verhoging 2022" totalsRowFunction="sum" dataDxfId="138" totalsRowDxfId="137">
      <calculatedColumnFormula>IFERROR(Tabel_toeslagen[[#This Row],[aantal toeslagen 2022]]*Tabel_toeslagen[[#This Row],[verhoging punten]], 0)</calculatedColumnFormula>
    </tableColumn>
    <tableColumn id="6" xr3:uid="{46A78620-0C91-42AA-80B4-8E96314A1309}" name="kosten verhoging 2022" totalsRowFunction="custom" dataDxfId="136" totalsRowDxfId="135">
      <calculatedColumnFormula>Tabel_toeslagen[[#This Row],[extra punten toesl. door verhoging 2022]]*tarief_huidig</calculatedColumnFormula>
      <totalsRowFormula>SUM(Tabel_toeslagen[kosten verhoging 2022])</totalsRowFormula>
    </tableColumn>
    <tableColumn id="11" xr3:uid="{5A490F2B-DF16-45D2-9647-E31F80E840DF}" name="aantal toeslagen 2023" dataDxfId="134" totalsRowDxfId="133"/>
    <tableColumn id="9" xr3:uid="{5B706803-62E3-4B8D-9CFA-EF2C03BC78D2}" name="extra punten toesl. door verhoging 2023" totalsRowFunction="sum" dataDxfId="132" totalsRowDxfId="131">
      <calculatedColumnFormula>IFERROR(Tabel_toeslagen[[#This Row],[aantal toeslagen 2023]]*Tabel_toeslagen[[#This Row],[verhoging punten]], 0)</calculatedColumnFormula>
    </tableColumn>
    <tableColumn id="7" xr3:uid="{C3C337F3-2A7B-4EC7-8638-D20EF34F3E6B}" name="kosten verhoging 2023" totalsRowFunction="sum" dataDxfId="130" totalsRowDxfId="129">
      <calculatedColumnFormula>Tabel_toeslagen[[#This Row],[extra punten toesl. door verhoging 2023]]*tarief_huidig</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281B5C-63CB-4345-A6FA-2131DC44121B}" name="Tabel_forfaits" displayName="Tabel_forfaits" ref="B6:G177" totalsRowShown="0" headerRowDxfId="25" dataDxfId="24">
  <autoFilter ref="B6:G177" xr:uid="{74281B5C-63CB-4345-A6FA-2131DC44121B}"/>
  <tableColumns count="6">
    <tableColumn id="1" xr3:uid="{4EC5E676-18C3-452E-B461-C1114082EE51}" name="Zaakcode" dataDxfId="23"/>
    <tableColumn id="2" xr3:uid="{2EA539B9-3F53-4D66-B720-8B82D2804C68}" name="forfait voor 2022" dataDxfId="22"/>
    <tableColumn id="3" xr3:uid="{5A3D268D-1E82-4757-96DB-8E7563B1A494}" name="forfait vanaf 2022" dataDxfId="21">
      <calculatedColumnFormula>IF(INDEX(Tabel_forfaits_huidig[Afgiftedatum m.i.v. 1-1-2022],MATCH(Tabel_forfaits[[#This Row],[Zaakcode]],Tabel_forfaits_huidig[Zaakcode],0))="n.v.t.",Tabel_forfaits[[#This Row],[forfait voor 2022]],  INDEX(Tabel_forfaits_huidig[Afgiftedatum m.i.v. 1-1-2022],MATCH(Tabel_forfaits[[#This Row],[Zaakcode]],Tabel_forfaits_huidig[Zaakcode],0)))</calculatedColumnFormula>
    </tableColumn>
    <tableColumn id="4" xr3:uid="{B6E5E63C-16D8-4FD6-8975-43E14F2F7B1B}" name="forfait advies VdM II" dataDxfId="20">
      <calculatedColumnFormula>INDEX(Tabel_forfaits_Cebeon[afgerond],MATCH(Tabel_forfaits[[#This Row],[Zaakcode]],Tabel_forfaits_Cebeon[Zaakcode],0))</calculatedColumnFormula>
    </tableColumn>
    <tableColumn id="7" xr3:uid="{9B81B5FE-D230-4DB8-9D63-613A94C88B59}" name="forfait toevoegingen kleine n" dataDxfId="19">
      <calculatedColumnFormula>IFERROR( INDEX(Tabel_kleine_n[voorstel nieuw forfait],MATCH(Tabel_forfaits[[#This Row],[Zaakcode]],Tabel_kleine_n[Kategorie],0)), 0)</calculatedColumnFormula>
    </tableColumn>
    <tableColumn id="5" xr3:uid="{D3018C9F-C8E8-4FDE-9A5E-BF4092FD8448}" name="forfait VdM II voor berekening" dataDxfId="18">
      <calculatedColumnFormula>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D6ED64-40B0-455D-87CF-A92AF72E47BE}" name="Tabel_forfaits_Cebeon" displayName="Tabel_forfaits_Cebeon" ref="J6:N174" totalsRowShown="0" headerRowDxfId="17" dataDxfId="15" headerRowBorderDxfId="16" tableBorderDxfId="14">
  <autoFilter ref="J6:N174" xr:uid="{7AD6ED64-40B0-455D-87CF-A92AF72E47BE}"/>
  <tableColumns count="5">
    <tableColumn id="1" xr3:uid="{8428DA21-7924-4D27-B38F-6B2D69E97EE6}" name="Zaakcode" dataDxfId="13"/>
    <tableColumn id="2" xr3:uid="{2F8621BF-F620-4405-8C18-FB5E83CE229E}" name="Omschrijving" dataDxfId="12" dataCellStyle="Standaard 2"/>
    <tableColumn id="3" xr3:uid="{6BC2C0A0-DBF5-41C6-9EEC-1067B3A6DD94}" name="Huidig forfait" dataDxfId="11" dataCellStyle="Standaard 2"/>
    <tableColumn id="4" xr3:uid="{1F93678A-63F2-4F9A-91FA-B0897402D0D0}" name="gemiddelde tijdsbesteding" dataDxfId="10" dataCellStyle="Standaard 2"/>
    <tableColumn id="5" xr3:uid="{EB9FC504-454B-4A4B-B39C-C581A777D171}" name="afgerond" dataDxfId="9" dataCellStyle="Standaard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D3B39FD-466B-4FB5-A8DF-D52702712486}" name="Tabel_kleine_n" displayName="Tabel_kleine_n" ref="A2:D51" totalsRowShown="0" headerRowDxfId="8" dataDxfId="7" tableBorderDxfId="6">
  <autoFilter ref="A2:D51" xr:uid="{FD3B39FD-466B-4FB5-A8DF-D52702712486}"/>
  <tableColumns count="4">
    <tableColumn id="1" xr3:uid="{5642F3D3-72D5-4BAB-9C81-5D526E2071C4}" name="Kategorie" dataDxfId="5"/>
    <tableColumn id="2" xr3:uid="{9387EACB-EC6B-407C-8851-F92C0BA486AF}" name="Omschrijving" dataDxfId="4"/>
    <tableColumn id="3" xr3:uid="{7E867E13-D5C8-44DA-AE3F-F3D8ED006521}" name="huidig forfait" dataDxfId="3"/>
    <tableColumn id="4" xr3:uid="{544CBEF1-AA69-4C6C-85BC-E52B690DD69D}" name="voorstel nieuw forfait"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CD23B0-453D-4360-B269-5B1834FBAA0B}" name="bron_opvolging" displayName="bron_opvolging" ref="B124:H406" totalsRowShown="0" headerRowDxfId="128" dataDxfId="126" headerRowBorderDxfId="127" tableBorderDxfId="125" totalsRowBorderDxfId="124" headerRowCellStyle="Standaard 3" dataCellStyle="Standaard 3">
  <autoFilter ref="B124:H406" xr:uid="{F2CD23B0-453D-4360-B269-5B1834FBAA0B}"/>
  <tableColumns count="7">
    <tableColumn id="1" xr3:uid="{000FB9D3-E587-4619-A629-63FD8EF8F89B}" name="Jaar Besluit Rel1 Vas Datum" dataDxfId="123" dataCellStyle="Standaard 3"/>
    <tableColumn id="2" xr3:uid="{4772BB6A-B8EE-43BB-A29A-6C2F8D426DFC}" name="Vaststelkategorie" dataDxfId="122" dataCellStyle="Standaard 3"/>
    <tableColumn id="3" xr3:uid="{44636B2C-438E-4BAC-871A-20CCD30023C6}" name="toeslag opvolging C" dataDxfId="121" dataCellStyle="Standaard 3"/>
    <tableColumn id="4" xr3:uid="{B79D0819-002E-4830-98B5-8F2047ADED9F}" name="toeslag opvolging S" dataDxfId="120" dataCellStyle="Standaard 3"/>
    <tableColumn id="5" xr3:uid="{00C4FF96-9BD2-4880-8B96-30E22EF18194}" name="toeslag opvolging AV" dataDxfId="119" dataCellStyle="Standaard 3"/>
    <tableColumn id="6" xr3:uid="{0F1D7CA5-126A-4855-B453-53A63954AE1E}" name="Besluit vaststelling" dataDxfId="118" dataCellStyle="Standaard 3"/>
    <tableColumn id="7" xr3:uid="{FB0739EB-67F5-45BB-B518-20E251CFA870}" name="Aantal decl" dataDxfId="117" dataCellStyle="Standaard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608FB2-5E54-4FFE-9639-0FBBAEFE72CE}" name="Tabel_opvolging2022" displayName="Tabel_opvolging2022" ref="B14:J116" totalsRowShown="0" headerRowDxfId="116" dataDxfId="115" headerRowCellStyle="Standaard 3" dataCellStyle="Standaard 3">
  <autoFilter ref="B14:J116" xr:uid="{86608FB2-5E54-4FFE-9639-0FBBAEFE72CE}"/>
  <tableColumns count="9">
    <tableColumn id="1" xr3:uid="{2C3D4AC1-764F-4C95-998D-1A9D73835FBC}" name="Vaststelkategorie" dataDxfId="114" dataCellStyle="Standaard 3"/>
    <tableColumn id="2" xr3:uid="{6BB9783F-2975-47E4-B7AC-24F437BD372D}" name="aantal opvolging pocedure 2022" dataDxfId="113" dataCellStyle="Standaard 3">
      <calculatedColumnFormula>(SUMIFS(bron_opvolging[toeslag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calculatedColumnFormula>
    </tableColumn>
    <tableColumn id="3" xr3:uid="{3D92A3C4-5327-41E2-8F0C-4901A867BF24}" name="forfait VdMII prc" dataDxfId="112" dataCellStyle="Standaard 3">
      <calculatedColumnFormula>IFERROR(INDEX(Tabel_forfaits[forfait VdM II voor berekening],MATCH(Tabel_opvolging2022[[#This Row],[Vaststelkategorie]],Tabel_forfaits[Zaakcode],0)), "n.v.t.")</calculatedColumnFormula>
    </tableColumn>
    <tableColumn id="4" xr3:uid="{A2EBAE52-825C-49FA-BD82-6659240A6A37}" name="toeslag opvolging VdM II prc" dataDxfId="111" dataCellStyle="Standaard 3">
      <calculatedColumnFormula>IFERROR(ROUND(D15*$D$5,$D$8),  $D$6)</calculatedColumnFormula>
    </tableColumn>
    <tableColumn id="5" xr3:uid="{9B8F25B7-3536-4889-8616-9CAC8A7571FB}" name="aantal opvolging advies 2022*" dataDxfId="110" dataCellStyle="Standaard 3">
      <calculatedColumnFormula>SUMIFS(bron_opvolging[toeslag opvolging AV],bron_opvolging[Jaar Besluit Rel1 Vas Datum],"2022",bron_opvolging[Vaststelkategorie],Tabel_opvolging2022[[#This Row],[Vaststelkategorie]]) / $D$6</calculatedColumnFormula>
    </tableColumn>
    <tableColumn id="6" xr3:uid="{85DCAE7B-942B-4E60-B1FF-5BA8B5F6C09F}" name="forfait VdMII adv" dataDxfId="109" dataCellStyle="Standaard 3">
      <calculatedColumnFormula>MIN($D$7,Tabel_opvolging2022[[#This Row],[forfait VdMII prc]])</calculatedColumnFormula>
    </tableColumn>
    <tableColumn id="7" xr3:uid="{5FC88CE8-25C5-4B59-B6A8-EB26BE1615C2}" name="toeslag opvolging VdM II adv" dataDxfId="108" dataCellStyle="Standaard 3">
      <calculatedColumnFormula>IFERROR(ROUND(Tabel_opvolging2022[[#This Row],[forfait VdMII adv]]*$D$5,$D$8),  $D$6)</calculatedColumnFormula>
    </tableColumn>
    <tableColumn id="8" xr3:uid="{FC5F349F-DDAD-4D61-9163-0309F3FF962B}" name="totaal extra punten t.o.v. huidige toeslag" dataDxfId="107" dataCellStyle="Standaard 3">
      <calculatedColumnFormula>(Tabel_opvolging2022[[#This Row],[aantal opvolging pocedure 2022]] * (Tabel_opvolging2022[[#This Row],[toeslag opvolging VdM II prc]]-$D$6)) + (Tabel_opvolging2022[[#This Row],[aantal opvolging advies 2022*]] * (Tabel_opvolging2022[[#This Row],[toeslag opvolging VdM II adv]]-$D$6))</calculatedColumnFormula>
    </tableColumn>
    <tableColumn id="9" xr3:uid="{44C85685-A569-44E8-B526-A39CA3A167EB}" name="totale extra kosten procentuele opvolgingstoeslag" dataDxfId="106" dataCellStyle="Standaard 3">
      <calculatedColumnFormula>Tabel_opvolging2022[[#This Row],[totaal extra punten t.o.v. huidige toeslag]] * tarief_huidig</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F6D8AC9-AE87-442A-8666-DB983AACDE9C}" name="Tabel_opvolging2023" displayName="Tabel_opvolging2023" ref="L14:T116" totalsRowShown="0" headerRowDxfId="105" dataDxfId="104" headerRowCellStyle="Standaard 3" dataCellStyle="Standaard 3">
  <autoFilter ref="L14:T116" xr:uid="{7F6D8AC9-AE87-442A-8666-DB983AACDE9C}"/>
  <tableColumns count="9">
    <tableColumn id="1" xr3:uid="{83DB960E-D586-4585-9AFC-6683863F81A7}" name="Vaststelkategorie" dataDxfId="103" dataCellStyle="Standaard 3"/>
    <tableColumn id="2" xr3:uid="{B19E81B5-8288-4B35-8DE5-10914501A3F2}" name="aantal opvolging procedure 2023" dataDxfId="102" dataCellStyle="Standaard 3">
      <calculatedColumnFormula>(SUMIFS(bron_opvolging[toeslag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calculatedColumnFormula>
    </tableColumn>
    <tableColumn id="3" xr3:uid="{731C8134-9AFA-4299-829B-F1BB760D9348}" name="forfait VdMII prc" dataDxfId="101" dataCellStyle="Standaard 3">
      <calculatedColumnFormula>IFERROR(INDEX(Tabel_forfaits[forfait VdM II voor berekening],MATCH(Tabel_opvolging2023[[#This Row],[Vaststelkategorie]],Tabel_forfaits[Zaakcode],0)), "n.v.t.")</calculatedColumnFormula>
    </tableColumn>
    <tableColumn id="4" xr3:uid="{9A226ED5-499D-415C-A8D6-31E41736B536}" name="toeslag opvolging VdM II prc" dataDxfId="100" dataCellStyle="Standaard 3">
      <calculatedColumnFormula>IFERROR(ROUND(Tabel_opvolging2023[[#This Row],[forfait VdMII prc]]*$D$5,$D$8),  $D$6)</calculatedColumnFormula>
    </tableColumn>
    <tableColumn id="5" xr3:uid="{5F1BD6F4-796C-4D4A-82AE-C5A91055F938}" name="aantal opvolging advies 2023*" dataDxfId="99" dataCellStyle="Standaard 3">
      <calculatedColumnFormula>SUMIFS(bron_opvolging[toeslag opvolging AV],bron_opvolging[Jaar Besluit Rel1 Vas Datum],"2023",bron_opvolging[Vaststelkategorie],Tabel_opvolging2023[[#This Row],[Vaststelkategorie]]) / $D$6</calculatedColumnFormula>
    </tableColumn>
    <tableColumn id="6" xr3:uid="{366806BF-E05C-4FBA-850E-267B92D7B568}" name="forfait VdMII adv" dataDxfId="98" dataCellStyle="Standaard 3">
      <calculatedColumnFormula>MIN($D$7,Tabel_opvolging2023[[#This Row],[forfait VdMII prc]])</calculatedColumnFormula>
    </tableColumn>
    <tableColumn id="7" xr3:uid="{A05EFF64-989F-44B0-A91D-304C802A3A73}" name="toeslag opvolging VdM II adv" dataDxfId="97" dataCellStyle="Standaard 3">
      <calculatedColumnFormula>IFERROR(ROUND(Tabel_opvolging2023[[#This Row],[forfait VdMII adv]]*$D$5,$D$8),  $D$6)</calculatedColumnFormula>
    </tableColumn>
    <tableColumn id="8" xr3:uid="{9E055FF7-597B-46EA-A15E-FFE369CDD555}" name="totaal extra punten t.o.v. huidige toeslag" dataDxfId="96" dataCellStyle="Standaard 3">
      <calculatedColumnFormula>(Tabel_opvolging2023[[#This Row],[aantal opvolging procedure 2023]] * (Tabel_opvolging2023[[#This Row],[toeslag opvolging VdM II prc]]-$D$6)) + (Tabel_opvolging2023[[#This Row],[aantal opvolging advies 2023*]] * (Tabel_opvolging2023[[#This Row],[toeslag opvolging VdM II adv]]-$D$6))</calculatedColumnFormula>
    </tableColumn>
    <tableColumn id="9" xr3:uid="{8631C872-D497-4692-B15C-F592A7260FE7}" name="totale extra kosten procentuele opvolgingstoeslag" dataDxfId="95" dataCellStyle="Standaard 3">
      <calculatedColumnFormula>Tabel_opvolging2023[[#This Row],[totaal extra punten t.o.v. huidige toeslag]] * tarief_huidig</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_prc_2022" displayName="Tabel_prc_2022" ref="B6:V154" totalsRowShown="0" headerRowDxfId="94" dataDxfId="93">
  <autoFilter ref="B6:V154" xr:uid="{00000000-0009-0000-0100-000002000000}"/>
  <tableColumns count="21">
    <tableColumn id="1" xr3:uid="{00000000-0010-0000-0000-000001000000}" name="Zaakcode" dataDxfId="92"/>
    <tableColumn id="2" xr3:uid="{00000000-0010-0000-0000-000002000000}" name="soort zaak" dataDxfId="91"/>
    <tableColumn id="3" xr3:uid="{00000000-0010-0000-0000-000003000000}" name="procedure - aantal vastgesteld" dataDxfId="90">
      <calculatedColumnFormula>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calculatedColumnFormula>
    </tableColumn>
    <tableColumn id="24" xr3:uid="{80031204-20A5-496D-9009-8EEC152EB4E5}" name="procedure - aantal basispunten vastgesteld" dataDxfId="89">
      <calculatedColumnFormula>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calculatedColumnFormula>
    </tableColumn>
    <tableColumn id="4" xr3:uid="{00000000-0010-0000-0000-000004000000}" name="procedure - aantal 0 punten" dataDxfId="88">
      <calculatedColumnFormula>SUMIFS(Tabel_VAS2022[aantal_VAS],Tabel_VAS2022[Zaakcode],Tabel_prc_2022[[#This Row],[Zaakcode]],Tabel_VAS2022[Adviesofprocedure],"prc",Tabel_VAS2022[code_punten_forfait],10)</calculatedColumnFormula>
    </tableColumn>
    <tableColumn id="5" xr3:uid="{00000000-0010-0000-0000-000005000000}" name="procedure - voor 2022, aantal op forfait" dataDxfId="87">
      <calculatedColumnFormula>SUMIFS(Tabel_VAS2022[aantal_VAS],Tabel_VAS2022[Zaakcode],Tabel_prc_2022[[#This Row],[Zaakcode]],Tabel_VAS2022[Adviesofprocedure],"prc",Tabel_VAS2022[code_punten_forfait],11)</calculatedColumnFormula>
    </tableColumn>
    <tableColumn id="7" xr3:uid="{00000000-0010-0000-0000-000007000000}" name="procedure - voor 2022, aantal onder forfait" dataDxfId="86">
      <calculatedColumnFormula>SUMIFS(Tabel_VAS2022[aantal_VAS],Tabel_VAS2022[Zaakcode],Tabel_prc_2022[[#This Row],[Zaakcode]],Tabel_VAS2022[Adviesofprocedure],"prc",Tabel_VAS2022[code_punten_forfait],13)</calculatedColumnFormula>
    </tableColumn>
    <tableColumn id="9" xr3:uid="{00000000-0010-0000-0000-000009000000}" name="procedure - voor 2022, aantal boven forfait" dataDxfId="85">
      <calculatedColumnFormula>SUMIFS(Tabel_VAS2022[aantal_VAS],Tabel_VAS2022[Zaakcode],Tabel_prc_2022[[#This Row],[Zaakcode]],Tabel_VAS2022[Adviesofprocedure],"prc",Tabel_VAS2022[code_punten_forfait],14)</calculatedColumnFormula>
    </tableColumn>
    <tableColumn id="11" xr3:uid="{00000000-0010-0000-0000-00000B000000}" name="procedure - vanaf 2022, aantal op forfait" dataDxfId="84">
      <calculatedColumnFormula>SUMIFS(Tabel_VAS2022[aantal_VAS],Tabel_VAS2022[Zaakcode],Tabel_prc_2022[[#This Row],[Zaakcode]],Tabel_VAS2022[Adviesofprocedure],"prc",Tabel_VAS2022[code_punten_forfait],12)</calculatedColumnFormula>
    </tableColumn>
    <tableColumn id="13" xr3:uid="{00000000-0010-0000-0000-00000D000000}" name="procedure - vanaf 2022, aantal onder forfait" dataDxfId="83">
      <calculatedColumnFormula>SUMIFS(Tabel_VAS2022[aantal_VAS],Tabel_VAS2022[Zaakcode],Tabel_prc_2022[[#This Row],[Zaakcode]],Tabel_VAS2022[Adviesofprocedure],"prc",Tabel_VAS2022[code_punten_forfait],15)</calculatedColumnFormula>
    </tableColumn>
    <tableColumn id="15" xr3:uid="{00000000-0010-0000-0000-00000F000000}" name="procedure - vanaf 2022, aantal boven forfait" dataDxfId="82">
      <calculatedColumnFormula>SUMIFS(Tabel_VAS2022[aantal_VAS],Tabel_VAS2022[Zaakcode],Tabel_prc_2022[[#This Row],[Zaakcode]],Tabel_VAS2022[Adviesofprocedure],"prc",Tabel_VAS2022[code_punten_forfait],16)</calculatedColumnFormula>
    </tableColumn>
    <tableColumn id="30" xr3:uid="{6A0169FD-7A49-4FE0-8A92-1FD4DFECE2C9}" name="procedure - forfait VdM I" dataDxfId="81">
      <calculatedColumnFormula>IFERROR(INDEX(Tabel_forfaits[forfait vanaf 2022],MATCH(Tabel_prc_2022[[#This Row],[Zaakcode]],Tabel_forfaits[Zaakcode],0)), "n.v.t.")</calculatedColumnFormula>
    </tableColumn>
    <tableColumn id="17" xr3:uid="{00000000-0010-0000-0000-000011000000}" name="procedure - forfait VdM II" dataDxfId="80">
      <calculatedColumnFormula>IFERROR(INDEX(Tabel_forfaits[forfait VdM II voor berekening],MATCH(Tabel_prc_2022[[#This Row],[Zaakcode]],Tabel_forfaits[Zaakcode],0)), "n.v.t.")</calculatedColumnFormula>
    </tableColumn>
    <tableColumn id="25" xr3:uid="{FBD11762-4610-4728-A714-4E4E9E5C6C16}" name="K1" dataDxfId="79"/>
    <tableColumn id="18" xr3:uid="{C9D642CE-28E3-4D2F-8018-3F6B96E5EB51}" name="procedure - max extra punten toev. op forfait" dataDxfId="78">
      <calculatedColumnFormula>IF(Tabel_prc_2022[[#This Row],[procedure - forfait VdM II]]="n.v.t.",0,  (Tabel_prc_2022[[#This Row],[procedure - voor 2022, aantal op forfait]] + Tabel_prc_2022[[#This Row],[procedure - vanaf 2022, aantal op forfait]]) * (Tabel_prc_2022[[#This Row],[procedure - forfait VdM II]] - Tabel_prc_2022[[#This Row],[procedure - forfait VdM I]]))</calculatedColumnFormula>
    </tableColumn>
    <tableColumn id="19" xr3:uid="{3EE64F1A-DC24-4967-A8F3-D65B996A87AB}" name="procedure - max extra punten toev. onder forfait" dataDxfId="77">
      <calculatedColumnFormula>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calculatedColumnFormula>
    </tableColumn>
    <tableColumn id="20" xr3:uid="{235D25C7-626B-4B03-8785-F4C3278AB428}" name="procedure - max extra punten toev. boven forfait" dataDxfId="76">
      <calculatedColumnFormula>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calculatedColumnFormula>
    </tableColumn>
    <tableColumn id="21" xr3:uid="{2CCDBCD1-EDD3-4595-9971-09A25D989FB0}" name="procedure - max extra punten toev. nul forfait" dataDxfId="75">
      <calculatedColumnFormula>IF(Tabel_prc_2022[[#This Row],[procedure - forfait VdM II]]="n.v.t.",0,  Tabel_prc_2022[[#This Row],[procedure - aantal 0 punten]] * (Tabel_prc_2022[[#This Row],[procedure - forfait VdM II]] - Tabel_prc_2022[[#This Row],[procedure - forfait VdM I]]))</calculatedColumnFormula>
    </tableColumn>
    <tableColumn id="22" xr3:uid="{DB2B69B8-463C-4FD8-BC26-F15D112D208E}" name="procedure - aantal toev. mee in berekening" dataDxfId="74">
      <calculatedColumnFormula>(Tabel_prc_2022[[#This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calculatedColumnFormula>
    </tableColumn>
    <tableColumn id="23" xr3:uid="{E70A2233-AD16-443F-91AF-101516D7F3CA}" name="procedure - totaal extra punten toev. VdM II t.o.v. huidig" dataDxfId="73">
      <calculatedColumnFormula>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calculatedColumnFormula>
    </tableColumn>
    <tableColumn id="31" xr3:uid="{28BC8EA3-6A84-43AA-86D0-67F37B7E406D}" name="procedure - extra kosten door VdM II" dataDxfId="72">
      <calculatedColumnFormula>Tabel_prc_2022[[#This Row],[procedure - totaal extra punten toev. VdM II t.o.v. huidig]] * tarief_huidig</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2AC6AD-26BE-4D69-80BA-74689787EDAE}" name="Tabel_prc_2023" displayName="Tabel_prc_2023" ref="B6:V154" totalsRowShown="0" headerRowDxfId="71" dataDxfId="70">
  <autoFilter ref="B6:V154" xr:uid="{00000000-0009-0000-0100-000002000000}"/>
  <tableColumns count="21">
    <tableColumn id="1" xr3:uid="{293CF758-3650-4D1E-9865-E2F87DB14B59}" name="Zaakcode" dataDxfId="69"/>
    <tableColumn id="2" xr3:uid="{EAFECF81-AAC3-4F86-99F2-B73615BF8187}" name="soort zaak" dataDxfId="68"/>
    <tableColumn id="3" xr3:uid="{BEB26EF9-DBC3-4766-AC58-B3E1C50317A6}" name="procedure - aantal vastgesteld" dataDxfId="67">
      <calculatedColumnFormula>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calculatedColumnFormula>
    </tableColumn>
    <tableColumn id="24" xr3:uid="{429303B6-32DC-43A0-AAA0-0D0736990FAB}" name="procedure - aantal basispunten vastgesteld" dataDxfId="66">
      <calculatedColumnFormula>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calculatedColumnFormula>
    </tableColumn>
    <tableColumn id="4" xr3:uid="{F84796CB-47B9-4422-AF5C-4A587BA4DCC2}" name="procedure - aantal 0 punten" dataDxfId="65">
      <calculatedColumnFormula>SUMIFS(Tabel_VAS2023[aantal_VAS],Tabel_VAS2023[Zaakcode],Tabel_prc_2023[[#This Row],[Zaakcode]],Tabel_VAS2023[Adviesofprocedure],"prc",Tabel_VAS2023[code_punten_forfait],10)</calculatedColumnFormula>
    </tableColumn>
    <tableColumn id="5" xr3:uid="{5641D7EF-0FC7-407B-B490-7969630A76F5}" name="procedure - voor 2022, aantal op forfait" dataDxfId="64">
      <calculatedColumnFormula>SUMIFS(Tabel_VAS2023[aantal_VAS],Tabel_VAS2023[Zaakcode],Tabel_prc_2023[[#This Row],[Zaakcode]],Tabel_VAS2023[Adviesofprocedure],"prc",Tabel_VAS2023[code_punten_forfait],11)</calculatedColumnFormula>
    </tableColumn>
    <tableColumn id="7" xr3:uid="{DB74D8EB-DB96-4F8A-B340-06CDC4B2A12F}" name="procedure - voor 2022, aantal onder forfait" dataDxfId="63">
      <calculatedColumnFormula>SUMIFS(Tabel_VAS2023[aantal_VAS],Tabel_VAS2023[Zaakcode],Tabel_prc_2023[[#This Row],[Zaakcode]],Tabel_VAS2023[Adviesofprocedure],"prc",Tabel_VAS2023[code_punten_forfait],13)</calculatedColumnFormula>
    </tableColumn>
    <tableColumn id="9" xr3:uid="{033C35C2-92C3-4CEB-B674-8B49D371AE2B}" name="procedure - voor 2022, aantal boven forfait" dataDxfId="62">
      <calculatedColumnFormula>SUMIFS(Tabel_VAS2023[aantal_VAS],Tabel_VAS2023[Zaakcode],Tabel_prc_2023[[#This Row],[Zaakcode]],Tabel_VAS2023[Adviesofprocedure],"prc",Tabel_VAS2023[code_punten_forfait],14)</calculatedColumnFormula>
    </tableColumn>
    <tableColumn id="11" xr3:uid="{59817075-2E9A-45FD-8739-B0F161C82434}" name="procedure - vanaf 2022, aantal op forfait" dataDxfId="61">
      <calculatedColumnFormula>SUMIFS(Tabel_VAS2023[aantal_VAS],Tabel_VAS2023[Zaakcode],Tabel_prc_2023[[#This Row],[Zaakcode]],Tabel_VAS2023[Adviesofprocedure],"prc",Tabel_VAS2023[code_punten_forfait],12)</calculatedColumnFormula>
    </tableColumn>
    <tableColumn id="13" xr3:uid="{3DA03F15-7FBF-4A10-B2C4-F9EE034FC466}" name="procedure - vanaf 2022, aantal onder forfait" dataDxfId="60">
      <calculatedColumnFormula>SUMIFS(Tabel_VAS2023[aantal_VAS],Tabel_VAS2023[Zaakcode],Tabel_prc_2023[[#This Row],[Zaakcode]],Tabel_VAS2023[Adviesofprocedure],"prc",Tabel_VAS2023[code_punten_forfait],15)</calculatedColumnFormula>
    </tableColumn>
    <tableColumn id="15" xr3:uid="{0079A616-3E5F-4B1F-AB2B-DFB1EF273FD2}" name="procedure - vanaf 2022, aantal boven forfait" dataDxfId="59">
      <calculatedColumnFormula>SUMIFS(Tabel_VAS2023[aantal_VAS],Tabel_VAS2023[Zaakcode],Tabel_prc_2023[[#This Row],[Zaakcode]],Tabel_VAS2023[Adviesofprocedure],"prc",Tabel_VAS2023[code_punten_forfait],16)</calculatedColumnFormula>
    </tableColumn>
    <tableColumn id="30" xr3:uid="{DEE25525-4C45-4842-8B60-209AC550D3A2}" name="procedure - forfait VdM I" dataDxfId="58">
      <calculatedColumnFormula>IFERROR(INDEX(Tabel_forfaits[forfait vanaf 2022],MATCH(Tabel_prc_2023[[#This Row],[Zaakcode]],Tabel_forfaits[Zaakcode],0)), "n.v.t.")</calculatedColumnFormula>
    </tableColumn>
    <tableColumn id="17" xr3:uid="{E0FD037A-5AF8-4238-9565-051F1CFAE51C}" name="procedure - forfait VdM II" dataDxfId="57">
      <calculatedColumnFormula>IFERROR(INDEX(Tabel_forfaits[forfait VdM II voor berekening],MATCH(Tabel_prc_2023[[#This Row],[Zaakcode]],Tabel_forfaits[Zaakcode],0)), "n.v.t.")</calculatedColumnFormula>
    </tableColumn>
    <tableColumn id="25" xr3:uid="{B2D0BC40-3170-4735-A1DA-12DDFDB10A9A}" name="K1" dataDxfId="56"/>
    <tableColumn id="18" xr3:uid="{2293EC5F-0753-4197-9E1B-20FA6838DC8A}" name="procedure - max extra punten toev. op forfait" dataDxfId="55">
      <calculatedColumnFormula>IF(Tabel_prc_2023[[#This Row],[procedure - forfait VdM II]]="n.v.t.",0,  (Tabel_prc_2023[[#This Row],[procedure - voor 2022, aantal op forfait]] + Tabel_prc_2023[[#This Row],[procedure - vanaf 2022, aantal op forfait]]) * (Tabel_prc_2023[[#This Row],[procedure - forfait VdM II]] - Tabel_prc_2023[[#This Row],[procedure - forfait VdM I]]))</calculatedColumnFormula>
    </tableColumn>
    <tableColumn id="19" xr3:uid="{8FA95A70-ADBD-4411-BB61-537378A80524}" name="procedure - max extra punten toev. onder forfait" dataDxfId="54">
      <calculatedColumnFormula>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calculatedColumnFormula>
    </tableColumn>
    <tableColumn id="20" xr3:uid="{0B0D7010-4A68-4655-97E9-65F1C45EBFD6}" name="procedure - max extra punten toev. boven forfait" dataDxfId="53">
      <calculatedColumnFormula>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calculatedColumnFormula>
    </tableColumn>
    <tableColumn id="21" xr3:uid="{CD971A9A-12FC-4437-BF4D-6DFD20E06AAA}" name="procedure - max extra punten toev. nul forfait" dataDxfId="52">
      <calculatedColumnFormula>IF(Tabel_prc_2023[[#This Row],[procedure - forfait VdM II]]="n.v.t.",0,  Tabel_prc_2023[[#This Row],[procedure - aantal 0 punten]] * (Tabel_prc_2023[[#This Row],[procedure - forfait VdM II]] - Tabel_prc_2023[[#This Row],[procedure - forfait VdM I]]))</calculatedColumnFormula>
    </tableColumn>
    <tableColumn id="22" xr3:uid="{C609857B-B5F6-4F59-9929-D54902BCB449}" name="procedure - aantal toev. binnen bereik VdM II" dataDxfId="51">
      <calculatedColumnFormula>(Tabel_prc_2023[[#This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calculatedColumnFormula>
    </tableColumn>
    <tableColumn id="23" xr3:uid="{D126E0F0-E52A-4AE2-AED0-73249C4C78A0}" name="procedure - totaal extra punten toev. VdM II t.o.v. huidig" dataDxfId="50">
      <calculatedColumnFormula>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calculatedColumnFormula>
    </tableColumn>
    <tableColumn id="31" xr3:uid="{C278B85A-8BA9-4CCC-9391-167719D6CCDB}" name="procedure - extra kosten door VdM II" dataDxfId="49">
      <calculatedColumnFormula>Tabel_prc_2023[[#This Row],[procedure - totaal extra punten toev. VdM II t.o.v. huidig]] * tarief_huidig</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_VAS2022" displayName="Tabel_VAS2022" ref="A1:F1366" totalsRowShown="0" headerRowDxfId="48" dataDxfId="47">
  <autoFilter ref="A1:F1366" xr:uid="{00000000-000C-0000-FFFF-FFFF01000000}"/>
  <tableColumns count="6">
    <tableColumn id="1" xr3:uid="{00000000-0010-0000-0100-000001000000}" name="Zaakcode" dataDxfId="46"/>
    <tableColumn id="2" xr3:uid="{00000000-0010-0000-0100-000002000000}" name="Adviesofprocedure" dataDxfId="45"/>
    <tableColumn id="3" xr3:uid="{00000000-0010-0000-0100-000003000000}" name="code_punten_forfait" dataDxfId="44"/>
    <tableColumn id="4" xr3:uid="{00000000-0010-0000-0100-000004000000}" name="aantal_VAS" dataDxfId="43"/>
    <tableColumn id="5" xr3:uid="{00000000-0010-0000-0100-000005000000}" name="puntenbasis_SOM" dataDxfId="42"/>
    <tableColumn id="6" xr3:uid="{71CD806B-E656-44F3-9A01-99F2F11114AA}" name="puntenbasis_gemiddeld" dataDxfId="4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CF0C3EF-4B2C-420C-9432-7119BF5773A3}" name="Tabel_VAS2023" displayName="Tabel_VAS2023" ref="A1:F1302" totalsRowShown="0" headerRowDxfId="40" dataDxfId="39">
  <autoFilter ref="A1:F1302" xr:uid="{4CF0C3EF-4B2C-420C-9432-7119BF5773A3}"/>
  <tableColumns count="6">
    <tableColumn id="1" xr3:uid="{C70360BA-1B42-462B-B91B-4975B6B43CD2}" name="Zaakcode" dataDxfId="38"/>
    <tableColumn id="2" xr3:uid="{56DF550E-87B3-4C13-84B2-4FF17F69EF2C}" name="Adviesofprocedure" dataDxfId="37"/>
    <tableColumn id="3" xr3:uid="{3EF90817-AD6C-4838-B7DD-DC15E6CA9C48}" name="code_punten_forfait" dataDxfId="36"/>
    <tableColumn id="4" xr3:uid="{A354ED17-C3BF-4AEB-B36F-4BB5014924B0}" name="aantal_VAS" dataDxfId="35"/>
    <tableColumn id="5" xr3:uid="{3228E166-079C-4473-882C-39492E3F4E25}" name="puntenbasis_SOM" dataDxfId="34"/>
    <tableColumn id="6" xr3:uid="{406EA37F-D64F-4E60-9036-A73832A49C3D}" name="puntenbasis_gemiddeld" dataDxfId="3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639A09-F663-416B-9E8E-497913EAC75B}" name="Tabel_forfaits_huidig" displayName="Tabel_forfaits_huidig" ref="P6:T178" totalsRowShown="0" headerRowDxfId="32" dataDxfId="31">
  <autoFilter ref="P6:T178" xr:uid="{B4639A09-F663-416B-9E8E-497913EAC75B}"/>
  <tableColumns count="5">
    <tableColumn id="1" xr3:uid="{B7CEB541-9558-402E-8F80-4C8A567DBCFB}" name="Zaakcode" dataDxfId="30"/>
    <tableColumn id="2" xr3:uid="{B4C61ED6-FA36-4F9C-93B3-3BCB9A48D731}" name="omschrijving" dataDxfId="29"/>
    <tableColumn id="3" xr3:uid="{714EFC50-F0BB-4ED0-8D8E-4BF3CCE22560}" name="Afgiftedatum t/m 31-12-2021" dataDxfId="28"/>
    <tableColumn id="4" xr3:uid="{870067EB-DC50-4483-AF6C-F8998606EEF9}" name="Afgiftedatum m.i.v. 1-1-2022" dataDxfId="27"/>
    <tableColumn id="5" xr3:uid="{E7FD8D48-D219-45F6-BC66-A5EFFB94E0C0}" name="Aanvraagdatum m.i.v. 1-9-2022" dataDxfId="26"/>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8" dT="2025-01-13T16:07:08.15" personId="{A9CC12DD-C869-42C8-8720-0DFBCDFE94DA}" id="{89B4B1B3-D509-4B3D-AC66-767120E4FD85}">
    <text>Tijdsbesteding P042 is onafgerond 6,45 uur; daarom 6 punten.</text>
  </threadedComment>
  <threadedComment ref="N111" dT="2025-01-13T16:00:17.60" personId="{A9CC12DD-C869-42C8-8720-0DFBCDFE94DA}" id="{4113109E-43E2-4DFF-BBE7-D84E2E42973F}">
    <text>A010 en A020 worden samengevoegd tot 1 code met 24 punten. Hier daarom voor beide codes 24 punten opgenomen.</text>
  </threadedComment>
  <threadedComment ref="N114" dT="2025-01-13T16:00:28.26" personId="{A9CC12DD-C869-42C8-8720-0DFBCDFE94DA}" id="{183AA958-34B7-4037-AA11-2D887AFDE5CD}">
    <text>A010 en A020 worden samengevoegd tot 1 code met 24 punten. Hier daarom voor beide codes 24 punten opgenomen.</text>
  </threadedComment>
  <threadedComment ref="N125" dT="2025-01-13T16:01:36.95" personId="{A9CC12DD-C869-42C8-8720-0DFBCDFE94DA}" id="{45CA24EC-4479-4673-84FE-024A0327927C}">
    <text>Tijdsbesteding is onafgerond 8,46 uur, dus daarom 8 punten.</text>
  </threadedComment>
  <threadedComment ref="N129" dT="2025-01-13T16:02:11.57" personId="{A9CC12DD-C869-42C8-8720-0DFBCDFE94DA}" id="{418A596F-311C-49D9-A6F4-BF3AFDB78C43}">
    <text>Tijdsbesteding is onafgerond 11,46 uur, dus daarom 11 punten.</text>
  </threadedComment>
  <threadedComment ref="N144" dT="2025-01-13T16:03:26.67" personId="{A9CC12DD-C869-42C8-8720-0DFBCDFE94DA}" id="{F038ECF7-D747-4E8E-B2BE-46E2ADE6BAC4}">
    <text>H030 en H040 worden samengevoegd met als advies een forfait van 18 punten.</text>
  </threadedComment>
  <threadedComment ref="N145" dT="2025-01-13T16:03:32.39" personId="{A9CC12DD-C869-42C8-8720-0DFBCDFE94DA}" id="{6AD5C366-D8DD-40B3-ABB5-A94DAF211999}">
    <text>H030 en H040 worden samengevoegd met als advies een forfait van 18 punten.</text>
  </threadedComment>
  <threadedComment ref="N157" dT="2025-01-13T16:05:19.08" personId="{A9CC12DD-C869-42C8-8720-0DFBCDFE94DA}" id="{739FDF6A-3FA1-4BFA-BEC6-D490AA947AE2}">
    <text>Tijdsbesteding O013 is onafgerond 14,45 uur, dus daarom 14 punten.</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printerSettings" Target="../printerSettings/printerSettings6.bin"/><Relationship Id="rId1" Type="http://schemas.openxmlformats.org/officeDocument/2006/relationships/hyperlink" Target="https://www.rvr.org/kenniswijzer/zoeken-kenniswijzer/toevoegen/alle-rechtsterreinen/punten-zaakcodelijst/" TargetMode="External"/><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3AFE-946E-4A68-BEA6-1DD06287110B}">
  <dimension ref="B2:AF50"/>
  <sheetViews>
    <sheetView showGridLines="0" tabSelected="1" workbookViewId="0"/>
  </sheetViews>
  <sheetFormatPr defaultColWidth="9.1796875" defaultRowHeight="13" x14ac:dyDescent="0.3"/>
  <cols>
    <col min="1" max="1" width="4.6328125" style="1" customWidth="1"/>
    <col min="2" max="4" width="13.453125" style="1" customWidth="1"/>
    <col min="5" max="10" width="14" style="1" customWidth="1"/>
    <col min="11" max="11" width="9.1796875" style="1"/>
    <col min="12" max="12" width="14.453125" style="1" customWidth="1"/>
    <col min="13" max="13" width="15.453125" style="1" customWidth="1"/>
    <col min="14" max="16384" width="9.1796875" style="1"/>
  </cols>
  <sheetData>
    <row r="2" spans="2:32" ht="15.5" x14ac:dyDescent="0.35">
      <c r="B2" s="371" t="s">
        <v>716</v>
      </c>
    </row>
    <row r="3" spans="2:32" ht="13.5" thickBot="1" x14ac:dyDescent="0.35"/>
    <row r="4" spans="2:32" ht="39" x14ac:dyDescent="0.3">
      <c r="B4" s="104" t="s">
        <v>423</v>
      </c>
      <c r="C4" s="94"/>
      <c r="D4" s="94"/>
      <c r="E4" s="185" t="s">
        <v>624</v>
      </c>
      <c r="F4" s="185" t="s">
        <v>678</v>
      </c>
      <c r="G4" s="185" t="s">
        <v>679</v>
      </c>
      <c r="H4" s="185" t="s">
        <v>625</v>
      </c>
      <c r="I4" s="197" t="s">
        <v>508</v>
      </c>
      <c r="J4" s="95"/>
    </row>
    <row r="5" spans="2:32" x14ac:dyDescent="0.3">
      <c r="B5" s="96" t="s">
        <v>422</v>
      </c>
      <c r="E5" s="198">
        <f>ROUND(SUM(Tabel_prc_2022[procedure - extra kosten door VdM II]),$D$37)</f>
        <v>12100000</v>
      </c>
      <c r="F5" s="198">
        <f>ROUND(SUM(Tabel_toeslagen[kosten verhoging 2022]), D37)</f>
        <v>5400000</v>
      </c>
      <c r="G5" s="198">
        <f>ROUND(opvolging!J117, $D$37) * knop_opvolging</f>
        <v>0</v>
      </c>
      <c r="H5" s="198">
        <f>ROUND('nieuw tarief'!D14, D37)</f>
        <v>5500000</v>
      </c>
      <c r="I5" s="199">
        <f>SUM(E5:H5)</f>
        <v>23000000</v>
      </c>
      <c r="J5" s="98" t="str">
        <f>IF($J$27=1,"(excl. btw)","(incl. btw)")</f>
        <v>(incl. btw)</v>
      </c>
    </row>
    <row r="6" spans="2:32" x14ac:dyDescent="0.3">
      <c r="B6" s="99" t="s">
        <v>421</v>
      </c>
      <c r="C6" s="93"/>
      <c r="D6" s="93"/>
      <c r="E6" s="200">
        <f>ROUND(SUM(Tabel_prc_2023[procedure - extra kosten door VdM II]),$D$37)</f>
        <v>13700000</v>
      </c>
      <c r="F6" s="200">
        <f>ROUND(SUM(Tabel_toeslagen[kosten verhoging 2023]), D37)</f>
        <v>6300000</v>
      </c>
      <c r="G6" s="200">
        <f>ROUND(opvolging!T117, $D$37) * knop_opvolging</f>
        <v>0</v>
      </c>
      <c r="H6" s="200">
        <f>ROUND('nieuw tarief'!F14, D37)</f>
        <v>6100000</v>
      </c>
      <c r="I6" s="201">
        <f>SUM(E6:H6)</f>
        <v>26100000</v>
      </c>
      <c r="J6" s="100" t="str">
        <f>IF($J$27=1,"(excl. btw)","(incl. btw)")</f>
        <v>(incl. btw)</v>
      </c>
    </row>
    <row r="7" spans="2:32" ht="13.5" thickBot="1" x14ac:dyDescent="0.35">
      <c r="B7" s="101" t="s">
        <v>424</v>
      </c>
      <c r="C7" s="102"/>
      <c r="D7" s="102"/>
      <c r="E7" s="202">
        <f>ROUND(   AVERAGE(  SUM(Tabel_prc_2022[procedure - extra kosten door VdM II]),   SUM(Tabel_prc_2023[procedure - extra kosten door VdM II])),   D37)</f>
        <v>12900000</v>
      </c>
      <c r="F7" s="202">
        <f>ROUND(   AVERAGE(SUM(Tabel_toeslagen[kosten verhoging 2022]), SUM(Tabel_toeslagen[kosten verhoging 2023])),   D37)</f>
        <v>5800000</v>
      </c>
      <c r="G7" s="202">
        <f>ROUND( AVERAGE(opvolging!J117,opvolging!T117), D37) * knop_opvolging</f>
        <v>0</v>
      </c>
      <c r="H7" s="202">
        <f>ROUND(   AVERAGE('nieuw tarief'!D14,'nieuw tarief'!F14), D37)</f>
        <v>5800000</v>
      </c>
      <c r="I7" s="203">
        <f>AVERAGE(I5:I6)</f>
        <v>24550000</v>
      </c>
      <c r="J7" s="103" t="str">
        <f>IF($J$27=1,"(excl. btw)","(incl. btw)")</f>
        <v>(incl. btw)</v>
      </c>
      <c r="K7" s="105" t="s">
        <v>644</v>
      </c>
    </row>
    <row r="8" spans="2:32" x14ac:dyDescent="0.3">
      <c r="B8" s="19"/>
      <c r="C8" s="19"/>
      <c r="D8" s="19"/>
      <c r="E8" s="373"/>
      <c r="F8" s="373"/>
      <c r="G8" s="373"/>
      <c r="H8" s="373"/>
      <c r="I8" s="373"/>
      <c r="J8" s="374"/>
      <c r="K8" s="105"/>
    </row>
    <row r="10" spans="2:32" x14ac:dyDescent="0.3">
      <c r="B10" s="372" t="s">
        <v>717</v>
      </c>
    </row>
    <row r="12" spans="2:32" x14ac:dyDescent="0.3">
      <c r="B12" s="19" t="s">
        <v>629</v>
      </c>
    </row>
    <row r="13" spans="2:32" ht="16.5" customHeight="1" x14ac:dyDescent="0.3">
      <c r="B13" s="267" t="s">
        <v>379</v>
      </c>
      <c r="C13" s="268"/>
      <c r="D13" s="268"/>
      <c r="E13" s="268"/>
      <c r="F13" s="268"/>
      <c r="G13" s="268"/>
      <c r="H13" s="268"/>
      <c r="I13" s="268"/>
      <c r="J13" s="269"/>
      <c r="N13" s="19"/>
      <c r="Y13" s="19"/>
      <c r="Z13" s="19"/>
      <c r="AA13" s="19"/>
      <c r="AB13" s="19"/>
      <c r="AC13" s="19"/>
      <c r="AD13" s="19"/>
      <c r="AE13" s="19"/>
      <c r="AF13" s="19"/>
    </row>
    <row r="14" spans="2:32" ht="18.75" customHeight="1" x14ac:dyDescent="0.3">
      <c r="B14" s="278" t="b">
        <v>1</v>
      </c>
      <c r="C14" s="270" t="s">
        <v>376</v>
      </c>
      <c r="D14" s="166"/>
      <c r="E14" s="166"/>
      <c r="F14" s="166"/>
      <c r="G14" s="166"/>
      <c r="H14" s="166"/>
      <c r="I14" s="166"/>
      <c r="J14" s="271"/>
      <c r="K14" s="105" t="s">
        <v>636</v>
      </c>
    </row>
    <row r="15" spans="2:32" ht="18.75" customHeight="1" x14ac:dyDescent="0.3">
      <c r="B15" s="278" t="b">
        <v>1</v>
      </c>
      <c r="C15" s="270" t="s">
        <v>425</v>
      </c>
      <c r="D15" s="270"/>
      <c r="E15" s="270"/>
      <c r="F15" s="270"/>
      <c r="G15" s="270"/>
      <c r="H15" s="270"/>
      <c r="I15" s="270"/>
      <c r="J15" s="271"/>
      <c r="K15" s="105" t="s">
        <v>637</v>
      </c>
    </row>
    <row r="16" spans="2:32" ht="18.75" customHeight="1" x14ac:dyDescent="0.3">
      <c r="B16" s="278" t="b">
        <v>1</v>
      </c>
      <c r="C16" s="270" t="s">
        <v>377</v>
      </c>
      <c r="D16" s="270"/>
      <c r="E16" s="270"/>
      <c r="F16" s="270"/>
      <c r="G16" s="272">
        <v>1.5</v>
      </c>
      <c r="H16" s="273" t="s">
        <v>453</v>
      </c>
      <c r="I16" s="270"/>
      <c r="J16" s="271"/>
      <c r="K16" s="105" t="s">
        <v>638</v>
      </c>
      <c r="M16" s="105" t="s">
        <v>635</v>
      </c>
    </row>
    <row r="17" spans="2:14" ht="18.75" customHeight="1" x14ac:dyDescent="0.3">
      <c r="B17" s="278" t="b">
        <v>0</v>
      </c>
      <c r="C17" s="270" t="s">
        <v>378</v>
      </c>
      <c r="D17" s="270"/>
      <c r="E17" s="270"/>
      <c r="F17" s="270"/>
      <c r="G17" s="270"/>
      <c r="H17" s="270"/>
      <c r="I17" s="270"/>
      <c r="J17" s="271"/>
      <c r="K17" s="105" t="s">
        <v>639</v>
      </c>
    </row>
    <row r="18" spans="2:14" x14ac:dyDescent="0.3">
      <c r="B18" s="274"/>
      <c r="C18" s="275"/>
      <c r="D18" s="275"/>
      <c r="E18" s="275"/>
      <c r="F18" s="275"/>
      <c r="G18" s="275"/>
      <c r="H18" s="275"/>
      <c r="I18" s="275"/>
      <c r="J18" s="276"/>
      <c r="K18" s="307"/>
      <c r="N18" s="118"/>
    </row>
    <row r="19" spans="2:14" x14ac:dyDescent="0.3">
      <c r="K19" s="307"/>
    </row>
    <row r="20" spans="2:14" x14ac:dyDescent="0.3">
      <c r="B20" s="19" t="s">
        <v>630</v>
      </c>
      <c r="K20" s="307"/>
    </row>
    <row r="21" spans="2:14" ht="15.75" customHeight="1" x14ac:dyDescent="0.3">
      <c r="B21" s="285" t="b">
        <v>1</v>
      </c>
      <c r="C21" s="280" t="s">
        <v>676</v>
      </c>
      <c r="D21" s="280"/>
      <c r="E21" s="280"/>
      <c r="F21" s="280"/>
      <c r="G21" s="280"/>
      <c r="H21" s="280"/>
      <c r="I21" s="280"/>
      <c r="J21" s="281"/>
      <c r="K21" s="105" t="s">
        <v>640</v>
      </c>
      <c r="N21" s="277"/>
    </row>
    <row r="22" spans="2:14" ht="15.75" customHeight="1" x14ac:dyDescent="0.3">
      <c r="B22" s="338" t="b">
        <v>0</v>
      </c>
      <c r="C22" s="166" t="s">
        <v>677</v>
      </c>
      <c r="D22" s="166"/>
      <c r="E22" s="166"/>
      <c r="F22" s="166"/>
      <c r="G22" s="166"/>
      <c r="H22" s="166"/>
      <c r="I22" s="166"/>
      <c r="J22" s="339"/>
      <c r="K22" s="20" t="s">
        <v>718</v>
      </c>
      <c r="N22" s="277"/>
    </row>
    <row r="23" spans="2:14" ht="11.25" customHeight="1" x14ac:dyDescent="0.3">
      <c r="B23" s="282"/>
      <c r="C23" s="283"/>
      <c r="D23" s="283"/>
      <c r="E23" s="283"/>
      <c r="F23" s="283"/>
      <c r="G23" s="283"/>
      <c r="H23" s="283"/>
      <c r="I23" s="283"/>
      <c r="J23" s="284"/>
      <c r="K23" s="307"/>
    </row>
    <row r="24" spans="2:14" x14ac:dyDescent="0.3">
      <c r="K24" s="307"/>
    </row>
    <row r="25" spans="2:14" x14ac:dyDescent="0.3">
      <c r="B25" s="19" t="s">
        <v>632</v>
      </c>
      <c r="K25" s="307"/>
    </row>
    <row r="26" spans="2:14" ht="16.5" customHeight="1" x14ac:dyDescent="0.3">
      <c r="B26" s="174" t="s">
        <v>448</v>
      </c>
      <c r="C26" s="175"/>
      <c r="D26" s="176"/>
      <c r="E26" s="174" t="s">
        <v>499</v>
      </c>
      <c r="F26" s="175"/>
      <c r="G26" s="176"/>
      <c r="H26" s="375" t="s">
        <v>503</v>
      </c>
      <c r="I26" s="376"/>
      <c r="J26" s="176"/>
      <c r="K26" s="307"/>
    </row>
    <row r="27" spans="2:14" ht="21" customHeight="1" x14ac:dyDescent="0.3">
      <c r="B27" s="164"/>
      <c r="C27" s="165">
        <v>126.55</v>
      </c>
      <c r="D27" s="167" t="s">
        <v>412</v>
      </c>
      <c r="E27" s="173">
        <v>128.01</v>
      </c>
      <c r="F27" s="166" t="s">
        <v>412</v>
      </c>
      <c r="G27" s="167"/>
      <c r="H27" s="173">
        <f>E27-C27</f>
        <v>1.4599999999999937</v>
      </c>
      <c r="I27" s="166" t="s">
        <v>412</v>
      </c>
      <c r="J27" s="180">
        <v>2</v>
      </c>
      <c r="K27" s="307"/>
    </row>
    <row r="28" spans="2:14" ht="21" customHeight="1" x14ac:dyDescent="0.3">
      <c r="B28" s="164"/>
      <c r="C28" s="165">
        <f>C27 * (1+btw)</f>
        <v>153.12549999999999</v>
      </c>
      <c r="D28" s="167" t="s">
        <v>413</v>
      </c>
      <c r="E28" s="173">
        <f>E27 * (1+btw)</f>
        <v>154.89209999999997</v>
      </c>
      <c r="F28" s="166" t="s">
        <v>413</v>
      </c>
      <c r="G28" s="167"/>
      <c r="H28" s="173">
        <f>E28-C28</f>
        <v>1.7665999999999826</v>
      </c>
      <c r="I28" s="166" t="s">
        <v>413</v>
      </c>
      <c r="J28" s="167"/>
      <c r="K28" s="307"/>
    </row>
    <row r="29" spans="2:14" x14ac:dyDescent="0.3">
      <c r="B29" s="164"/>
      <c r="C29" s="166"/>
      <c r="D29" s="167"/>
      <c r="E29" s="173"/>
      <c r="F29" s="166"/>
      <c r="G29" s="167"/>
      <c r="H29" s="173"/>
      <c r="I29" s="166"/>
      <c r="J29" s="167"/>
      <c r="K29" s="307"/>
    </row>
    <row r="30" spans="2:14" x14ac:dyDescent="0.3">
      <c r="B30" s="177" t="s">
        <v>414</v>
      </c>
      <c r="C30" s="178">
        <f>IF(J27=1,C27,C28)</f>
        <v>153.12549999999999</v>
      </c>
      <c r="D30" s="167" t="str">
        <f>IF(J27=1,"excl. btw","incl. btw")</f>
        <v>incl. btw</v>
      </c>
      <c r="E30" s="179">
        <f>IF(J27=1,E27,E28)</f>
        <v>154.89209999999997</v>
      </c>
      <c r="F30" s="166" t="str">
        <f>IF(J27=1,"excl. btw","incl. btw")</f>
        <v>incl. btw</v>
      </c>
      <c r="G30" s="167"/>
      <c r="H30" s="179">
        <f>tarief_nieuw-tarief_huidig</f>
        <v>1.7665999999999826</v>
      </c>
      <c r="I30" s="166" t="str">
        <f>IF(J27=1,"excl. btw","incl. btw")</f>
        <v>incl. btw</v>
      </c>
      <c r="J30" s="167"/>
      <c r="K30" s="105" t="s">
        <v>641</v>
      </c>
    </row>
    <row r="31" spans="2:14" x14ac:dyDescent="0.3">
      <c r="B31" s="169"/>
      <c r="C31" s="170"/>
      <c r="D31" s="172"/>
      <c r="E31" s="169"/>
      <c r="F31" s="170"/>
      <c r="G31" s="172"/>
      <c r="H31" s="169"/>
      <c r="I31" s="170"/>
      <c r="J31" s="172"/>
      <c r="K31" s="307"/>
    </row>
    <row r="32" spans="2:14" x14ac:dyDescent="0.3">
      <c r="B32" s="164" t="s">
        <v>626</v>
      </c>
      <c r="C32" s="166"/>
      <c r="D32" s="168">
        <v>0.95499999999999996</v>
      </c>
      <c r="E32" s="166"/>
      <c r="F32" s="166"/>
      <c r="G32" s="287"/>
      <c r="H32" s="166"/>
      <c r="I32" s="166"/>
      <c r="J32" s="167"/>
      <c r="K32" s="105" t="s">
        <v>642</v>
      </c>
    </row>
    <row r="33" spans="2:13" x14ac:dyDescent="0.3">
      <c r="B33" s="169"/>
      <c r="C33" s="170"/>
      <c r="D33" s="171"/>
      <c r="E33" s="170"/>
      <c r="F33" s="170"/>
      <c r="G33" s="170"/>
      <c r="H33" s="170"/>
      <c r="I33" s="170"/>
      <c r="J33" s="172"/>
      <c r="K33" s="307"/>
    </row>
    <row r="34" spans="2:13" x14ac:dyDescent="0.3">
      <c r="K34" s="307"/>
    </row>
    <row r="35" spans="2:13" x14ac:dyDescent="0.3">
      <c r="B35" s="19" t="s">
        <v>631</v>
      </c>
      <c r="K35" s="307"/>
    </row>
    <row r="36" spans="2:13" x14ac:dyDescent="0.3">
      <c r="B36" s="279" t="s">
        <v>501</v>
      </c>
      <c r="C36" s="280"/>
      <c r="D36" s="286">
        <v>0.21</v>
      </c>
      <c r="E36" s="280"/>
      <c r="F36" s="280"/>
      <c r="G36" s="280"/>
      <c r="H36" s="280"/>
      <c r="I36" s="280"/>
      <c r="J36" s="281"/>
      <c r="K36" s="105" t="s">
        <v>643</v>
      </c>
    </row>
    <row r="37" spans="2:13" x14ac:dyDescent="0.3">
      <c r="B37" s="282" t="s">
        <v>633</v>
      </c>
      <c r="C37" s="283"/>
      <c r="D37" s="283">
        <v>-5</v>
      </c>
      <c r="E37" s="283"/>
      <c r="F37" s="283"/>
      <c r="G37" s="283"/>
      <c r="H37" s="283"/>
      <c r="I37" s="283"/>
      <c r="J37" s="284"/>
      <c r="K37" s="307"/>
    </row>
    <row r="40" spans="2:13" ht="15" customHeight="1" x14ac:dyDescent="0.3">
      <c r="L40" s="97"/>
    </row>
    <row r="41" spans="2:13" ht="15" customHeight="1" x14ac:dyDescent="0.3">
      <c r="L41" s="97"/>
    </row>
    <row r="42" spans="2:13" ht="15" customHeight="1" x14ac:dyDescent="0.3">
      <c r="L42" s="97"/>
      <c r="M42" s="89"/>
    </row>
    <row r="44" spans="2:13" x14ac:dyDescent="0.3">
      <c r="D44" s="105"/>
    </row>
    <row r="47" spans="2:13" x14ac:dyDescent="0.3">
      <c r="E47" s="97"/>
    </row>
    <row r="48" spans="2:13" x14ac:dyDescent="0.3">
      <c r="E48" s="97"/>
    </row>
    <row r="49" spans="5:5" x14ac:dyDescent="0.3">
      <c r="E49" s="97"/>
    </row>
    <row r="50" spans="5:5" x14ac:dyDescent="0.3">
      <c r="E50" s="97"/>
    </row>
  </sheetData>
  <mergeCells count="1">
    <mergeCell ref="H26:I26"/>
  </mergeCells>
  <conditionalFormatting sqref="F5:G6">
    <cfRule type="cellIs" dxfId="1" priority="1" operator="equal">
      <formula>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146050</xdr:colOff>
                    <xdr:row>13</xdr:row>
                    <xdr:rowOff>12700</xdr:rowOff>
                  </from>
                  <to>
                    <xdr:col>1</xdr:col>
                    <xdr:colOff>450850</xdr:colOff>
                    <xdr:row>14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146050</xdr:colOff>
                    <xdr:row>14</xdr:row>
                    <xdr:rowOff>12700</xdr:rowOff>
                  </from>
                  <to>
                    <xdr:col>1</xdr:col>
                    <xdr:colOff>450850</xdr:colOff>
                    <xdr:row>14</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146050</xdr:colOff>
                    <xdr:row>15</xdr:row>
                    <xdr:rowOff>19050</xdr:rowOff>
                  </from>
                  <to>
                    <xdr:col>1</xdr:col>
                    <xdr:colOff>450850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146050</xdr:colOff>
                    <xdr:row>16</xdr:row>
                    <xdr:rowOff>19050</xdr:rowOff>
                  </from>
                  <to>
                    <xdr:col>1</xdr:col>
                    <xdr:colOff>450850</xdr:colOff>
                    <xdr:row>17</xdr:row>
                    <xdr:rowOff>0</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xdr:col>
                    <xdr:colOff>19050</xdr:colOff>
                    <xdr:row>26</xdr:row>
                    <xdr:rowOff>19050</xdr:rowOff>
                  </from>
                  <to>
                    <xdr:col>3</xdr:col>
                    <xdr:colOff>819150</xdr:colOff>
                    <xdr:row>30</xdr:row>
                    <xdr:rowOff>95250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1</xdr:col>
                    <xdr:colOff>146050</xdr:colOff>
                    <xdr:row>26</xdr:row>
                    <xdr:rowOff>76200</xdr:rowOff>
                  </from>
                  <to>
                    <xdr:col>2</xdr:col>
                    <xdr:colOff>165100</xdr:colOff>
                    <xdr:row>27</xdr:row>
                    <xdr:rowOff>19050</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1</xdr:col>
                    <xdr:colOff>146050</xdr:colOff>
                    <xdr:row>27</xdr:row>
                    <xdr:rowOff>76200</xdr:rowOff>
                  </from>
                  <to>
                    <xdr:col>2</xdr:col>
                    <xdr:colOff>165100</xdr:colOff>
                    <xdr:row>28</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xdr:col>
                    <xdr:colOff>146050</xdr:colOff>
                    <xdr:row>20</xdr:row>
                    <xdr:rowOff>12700</xdr:rowOff>
                  </from>
                  <to>
                    <xdr:col>1</xdr:col>
                    <xdr:colOff>450850</xdr:colOff>
                    <xdr:row>21</xdr:row>
                    <xdr:rowOff>31750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xdr:col>
                    <xdr:colOff>146050</xdr:colOff>
                    <xdr:row>21</xdr:row>
                    <xdr:rowOff>12700</xdr:rowOff>
                  </from>
                  <to>
                    <xdr:col>1</xdr:col>
                    <xdr:colOff>450850</xdr:colOff>
                    <xdr:row>22</xdr:row>
                    <xdr:rowOff>31750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4154D-221B-4459-9E36-FB0ECB2E1018}">
  <dimension ref="B4:T183"/>
  <sheetViews>
    <sheetView showGridLines="0" workbookViewId="0">
      <pane ySplit="6" topLeftCell="A7" activePane="bottomLeft" state="frozen"/>
      <selection pane="bottomLeft"/>
    </sheetView>
  </sheetViews>
  <sheetFormatPr defaultColWidth="9.1796875" defaultRowHeight="13" x14ac:dyDescent="0.3"/>
  <cols>
    <col min="1" max="1" width="9.1796875" style="1"/>
    <col min="2" max="2" width="11.81640625" style="1" customWidth="1"/>
    <col min="3" max="7" width="21" style="1" customWidth="1"/>
    <col min="8" max="8" width="11.81640625" style="1" customWidth="1"/>
    <col min="9" max="9" width="9.81640625" style="1" customWidth="1"/>
    <col min="10" max="10" width="23.54296875" style="1" customWidth="1"/>
    <col min="11" max="11" width="42.81640625" style="1" customWidth="1"/>
    <col min="12" max="14" width="11.7265625" style="1" customWidth="1"/>
    <col min="15" max="15" width="9.81640625" style="1" customWidth="1"/>
    <col min="16" max="16" width="22.26953125" style="1" customWidth="1"/>
    <col min="17" max="17" width="45.1796875" style="1" customWidth="1"/>
    <col min="18" max="20" width="11.7265625" style="1" customWidth="1"/>
    <col min="21" max="16384" width="9.1796875" style="1"/>
  </cols>
  <sheetData>
    <row r="4" spans="2:20" x14ac:dyDescent="0.3">
      <c r="B4" s="19" t="s">
        <v>416</v>
      </c>
      <c r="J4" s="19" t="s">
        <v>547</v>
      </c>
      <c r="P4" s="19" t="s">
        <v>548</v>
      </c>
      <c r="R4" s="1" t="s">
        <v>351</v>
      </c>
      <c r="S4" s="40" t="s">
        <v>352</v>
      </c>
    </row>
    <row r="5" spans="2:20" ht="12.75" customHeight="1" x14ac:dyDescent="0.3">
      <c r="B5" s="1" t="s">
        <v>702</v>
      </c>
      <c r="J5" s="1" t="s">
        <v>703</v>
      </c>
      <c r="P5" s="1" t="s">
        <v>704</v>
      </c>
    </row>
    <row r="6" spans="2:20" ht="39.5" thickBot="1" x14ac:dyDescent="0.35">
      <c r="B6" s="4" t="s">
        <v>0</v>
      </c>
      <c r="C6" s="21" t="s">
        <v>2</v>
      </c>
      <c r="D6" s="21" t="s">
        <v>3</v>
      </c>
      <c r="E6" s="21" t="s">
        <v>545</v>
      </c>
      <c r="F6" s="21" t="s">
        <v>546</v>
      </c>
      <c r="G6" s="21" t="s">
        <v>390</v>
      </c>
      <c r="H6" s="39" t="s">
        <v>392</v>
      </c>
      <c r="J6" s="41" t="s">
        <v>0</v>
      </c>
      <c r="K6" s="42" t="s">
        <v>186</v>
      </c>
      <c r="L6" s="43" t="s">
        <v>384</v>
      </c>
      <c r="M6" s="44" t="s">
        <v>385</v>
      </c>
      <c r="N6" s="44" t="s">
        <v>386</v>
      </c>
      <c r="P6" s="24" t="s">
        <v>0</v>
      </c>
      <c r="Q6" s="25" t="s">
        <v>356</v>
      </c>
      <c r="R6" s="22" t="s">
        <v>353</v>
      </c>
      <c r="S6" s="22" t="s">
        <v>354</v>
      </c>
      <c r="T6" s="22" t="s">
        <v>355</v>
      </c>
    </row>
    <row r="7" spans="2:20" ht="26.5" thickBot="1" x14ac:dyDescent="0.35">
      <c r="B7" s="4" t="str">
        <f>Tabel_forfaits_Cebeon[[#This Row],[Zaakcode]]</f>
        <v>Personen- en familierecht</v>
      </c>
      <c r="C7" s="34"/>
      <c r="D7" s="34"/>
      <c r="E7" s="34"/>
      <c r="F7" s="34">
        <f>IFERROR( INDEX(Tabel_kleine_n[voorstel nieuw forfait],MATCH(Tabel_forfaits[[#This Row],[Zaakcode]],Tabel_kleine_n[Kategorie],0)), 0)</f>
        <v>0</v>
      </c>
      <c r="G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7" s="39"/>
      <c r="J7" s="45" t="s">
        <v>187</v>
      </c>
      <c r="K7" s="46"/>
      <c r="L7" s="46"/>
      <c r="M7" s="46"/>
      <c r="N7" s="125"/>
      <c r="P7" s="26" t="s">
        <v>187</v>
      </c>
      <c r="Q7" s="23"/>
      <c r="R7" s="23"/>
      <c r="S7" s="23"/>
      <c r="T7" s="23"/>
    </row>
    <row r="8" spans="2:20" ht="13.5" thickBot="1" x14ac:dyDescent="0.35">
      <c r="B8" s="28" t="s">
        <v>68</v>
      </c>
      <c r="C8" s="34">
        <f>INDEX(Tabel_forfaits_huidig[Afgiftedatum t/m 31-12-2021],MATCH(Tabel_forfaits[[#This Row],[Zaakcode]],Tabel_forfaits_huidig[Zaakcode],0))</f>
        <v>10</v>
      </c>
      <c r="D8" s="229">
        <f>$D$12</f>
        <v>13</v>
      </c>
      <c r="E8" s="34" t="str">
        <f>INDEX(Tabel_forfaits_Cebeon[afgerond],MATCH(Tabel_forfaits[[#This Row],[Zaakcode]],Tabel_forfaits_Cebeon[Zaakcode],0))</f>
        <v>n.v.t.</v>
      </c>
      <c r="F8" s="34">
        <f>IFERROR( INDEX(Tabel_kleine_n[voorstel nieuw forfait],MATCH(Tabel_forfaits[[#This Row],[Zaakcode]],Tabel_kleine_n[Kategorie],0)), 0)</f>
        <v>0</v>
      </c>
      <c r="G8" s="229">
        <f>$G$12</f>
        <v>12</v>
      </c>
      <c r="H8" s="86" t="s">
        <v>391</v>
      </c>
      <c r="J8" s="47" t="s">
        <v>68</v>
      </c>
      <c r="K8" s="47" t="s">
        <v>188</v>
      </c>
      <c r="L8" s="48" t="s">
        <v>63</v>
      </c>
      <c r="M8" s="47" t="s">
        <v>63</v>
      </c>
      <c r="N8" s="126" t="s">
        <v>63</v>
      </c>
      <c r="P8" s="27" t="s">
        <v>68</v>
      </c>
      <c r="Q8" s="27" t="s">
        <v>188</v>
      </c>
      <c r="R8" s="27">
        <v>10</v>
      </c>
      <c r="S8" s="27" t="s">
        <v>63</v>
      </c>
      <c r="T8" s="27" t="s">
        <v>63</v>
      </c>
    </row>
    <row r="9" spans="2:20" ht="26.5" thickBot="1" x14ac:dyDescent="0.35">
      <c r="B9" s="28" t="s">
        <v>69</v>
      </c>
      <c r="C9" s="34">
        <f>INDEX(Tabel_forfaits_huidig[Afgiftedatum t/m 31-12-2021],MATCH(Tabel_forfaits[[#This Row],[Zaakcode]],Tabel_forfaits_huidig[Zaakcode],0))</f>
        <v>10</v>
      </c>
      <c r="D9" s="229">
        <f>$D$12</f>
        <v>13</v>
      </c>
      <c r="E9" s="34" t="str">
        <f>INDEX(Tabel_forfaits_Cebeon[afgerond],MATCH(Tabel_forfaits[[#This Row],[Zaakcode]],Tabel_forfaits_Cebeon[Zaakcode],0))</f>
        <v>n.v.t.</v>
      </c>
      <c r="F9" s="34">
        <f>IFERROR( INDEX(Tabel_kleine_n[voorstel nieuw forfait],MATCH(Tabel_forfaits[[#This Row],[Zaakcode]],Tabel_kleine_n[Kategorie],0)), 0)</f>
        <v>0</v>
      </c>
      <c r="G9" s="229">
        <f>$G$12</f>
        <v>12</v>
      </c>
      <c r="H9" s="86" t="str">
        <f>$H$8</f>
        <v>forfait P015</v>
      </c>
      <c r="J9" s="49" t="s">
        <v>69</v>
      </c>
      <c r="K9" s="49" t="s">
        <v>189</v>
      </c>
      <c r="L9" s="50" t="s">
        <v>63</v>
      </c>
      <c r="M9" s="49" t="s">
        <v>63</v>
      </c>
      <c r="N9" s="127" t="s">
        <v>63</v>
      </c>
      <c r="P9" s="28" t="s">
        <v>69</v>
      </c>
      <c r="Q9" s="28" t="s">
        <v>189</v>
      </c>
      <c r="R9" s="28">
        <v>10</v>
      </c>
      <c r="S9" s="28" t="s">
        <v>63</v>
      </c>
      <c r="T9" s="28" t="s">
        <v>63</v>
      </c>
    </row>
    <row r="10" spans="2:20" ht="13.5" thickBot="1" x14ac:dyDescent="0.35">
      <c r="B10" s="1" t="s">
        <v>70</v>
      </c>
      <c r="C10" s="34">
        <f>INDEX(Tabel_forfaits_huidig[Afgiftedatum t/m 31-12-2021],MATCH(Tabel_forfaits[[#This Row],[Zaakcode]],Tabel_forfaits_huidig[Zaakcode],0))</f>
        <v>10</v>
      </c>
      <c r="D1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13</v>
      </c>
      <c r="E10" s="34">
        <f>INDEX(Tabel_forfaits_Cebeon[afgerond],MATCH(Tabel_forfaits[[#This Row],[Zaakcode]],Tabel_forfaits_Cebeon[Zaakcode],0))</f>
        <v>17</v>
      </c>
      <c r="F10" s="34">
        <f>IFERROR( INDEX(Tabel_kleine_n[voorstel nieuw forfait],MATCH(Tabel_forfaits[[#This Row],[Zaakcode]],Tabel_kleine_n[Kategorie],0)), 0)</f>
        <v>0</v>
      </c>
      <c r="G1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17</v>
      </c>
      <c r="H10" s="86"/>
      <c r="J10" s="51" t="s">
        <v>70</v>
      </c>
      <c r="K10" s="52" t="s">
        <v>190</v>
      </c>
      <c r="L10" s="53">
        <v>13</v>
      </c>
      <c r="M10" s="52">
        <v>17.3</v>
      </c>
      <c r="N10" s="126">
        <v>17</v>
      </c>
      <c r="P10" s="1" t="s">
        <v>70</v>
      </c>
      <c r="Q10" s="27" t="s">
        <v>190</v>
      </c>
      <c r="R10" s="27">
        <v>10</v>
      </c>
      <c r="S10" s="27">
        <v>13</v>
      </c>
      <c r="T10" s="27">
        <v>13</v>
      </c>
    </row>
    <row r="11" spans="2:20" ht="13.5" thickBot="1" x14ac:dyDescent="0.35">
      <c r="B11" s="1" t="s">
        <v>71</v>
      </c>
      <c r="C11" s="34">
        <f>INDEX(Tabel_forfaits_huidig[Afgiftedatum t/m 31-12-2021],MATCH(Tabel_forfaits[[#This Row],[Zaakcode]],Tabel_forfaits_huidig[Zaakcode],0))</f>
        <v>10</v>
      </c>
      <c r="D1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13</v>
      </c>
      <c r="E11" s="34">
        <f>INDEX(Tabel_forfaits_Cebeon[afgerond],MATCH(Tabel_forfaits[[#This Row],[Zaakcode]],Tabel_forfaits_Cebeon[Zaakcode],0))</f>
        <v>13</v>
      </c>
      <c r="F11" s="34">
        <f>IFERROR( INDEX(Tabel_kleine_n[voorstel nieuw forfait],MATCH(Tabel_forfaits[[#This Row],[Zaakcode]],Tabel_kleine_n[Kategorie],0)), 0)</f>
        <v>13</v>
      </c>
      <c r="G1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11" s="86" t="str">
        <f>$H$20</f>
        <v>kleine n</v>
      </c>
      <c r="J11" s="54" t="s">
        <v>71</v>
      </c>
      <c r="K11" s="55" t="s">
        <v>191</v>
      </c>
      <c r="L11" s="56">
        <v>13</v>
      </c>
      <c r="M11" s="55">
        <v>13</v>
      </c>
      <c r="N11" s="127">
        <v>13</v>
      </c>
      <c r="P11" s="1" t="s">
        <v>71</v>
      </c>
      <c r="Q11" s="28" t="s">
        <v>191</v>
      </c>
      <c r="R11" s="28">
        <v>10</v>
      </c>
      <c r="S11" s="28">
        <v>13</v>
      </c>
      <c r="T11" s="28">
        <v>13</v>
      </c>
    </row>
    <row r="12" spans="2:20" ht="26.5" thickBot="1" x14ac:dyDescent="0.35">
      <c r="B12" s="1" t="s">
        <v>72</v>
      </c>
      <c r="C12" s="34" t="str">
        <f>INDEX(Tabel_forfaits_huidig[Afgiftedatum t/m 31-12-2021],MATCH(Tabel_forfaits[[#This Row],[Zaakcode]],Tabel_forfaits_huidig[Zaakcode],0))</f>
        <v>n.v.t.</v>
      </c>
      <c r="D1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13</v>
      </c>
      <c r="E12" s="34">
        <f>INDEX(Tabel_forfaits_Cebeon[afgerond],MATCH(Tabel_forfaits[[#This Row],[Zaakcode]],Tabel_forfaits_Cebeon[Zaakcode],0))</f>
        <v>12</v>
      </c>
      <c r="F12" s="34">
        <f>IFERROR( INDEX(Tabel_kleine_n[voorstel nieuw forfait],MATCH(Tabel_forfaits[[#This Row],[Zaakcode]],Tabel_kleine_n[Kategorie],0)), 0)</f>
        <v>0</v>
      </c>
      <c r="G1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12</v>
      </c>
      <c r="H12" s="86"/>
      <c r="J12" s="51" t="s">
        <v>72</v>
      </c>
      <c r="K12" s="52" t="s">
        <v>192</v>
      </c>
      <c r="L12" s="53">
        <v>13</v>
      </c>
      <c r="M12" s="52">
        <v>11.6</v>
      </c>
      <c r="N12" s="126">
        <v>12</v>
      </c>
      <c r="P12" s="1" t="s">
        <v>72</v>
      </c>
      <c r="Q12" s="27" t="s">
        <v>192</v>
      </c>
      <c r="R12" s="27" t="s">
        <v>63</v>
      </c>
      <c r="S12" s="27">
        <v>13</v>
      </c>
      <c r="T12" s="27">
        <v>13</v>
      </c>
    </row>
    <row r="13" spans="2:20" ht="13.5" thickBot="1" x14ac:dyDescent="0.35">
      <c r="B13" s="28" t="s">
        <v>73</v>
      </c>
      <c r="C13" s="34">
        <f>INDEX(Tabel_forfaits_huidig[Afgiftedatum t/m 31-12-2021],MATCH(Tabel_forfaits[[#This Row],[Zaakcode]],Tabel_forfaits_huidig[Zaakcode],0))</f>
        <v>7</v>
      </c>
      <c r="D13" s="229">
        <f>$D$12</f>
        <v>13</v>
      </c>
      <c r="E13" s="34" t="str">
        <f>INDEX(Tabel_forfaits_Cebeon[afgerond],MATCH(Tabel_forfaits[[#This Row],[Zaakcode]],Tabel_forfaits_Cebeon[Zaakcode],0))</f>
        <v>n.v.t.</v>
      </c>
      <c r="F13" s="34">
        <f>IFERROR( INDEX(Tabel_kleine_n[voorstel nieuw forfait],MATCH(Tabel_forfaits[[#This Row],[Zaakcode]],Tabel_kleine_n[Kategorie],0)), 0)</f>
        <v>0</v>
      </c>
      <c r="G13" s="229">
        <f>$G$12</f>
        <v>12</v>
      </c>
      <c r="H13" s="86" t="str">
        <f>$H$8</f>
        <v>forfait P015</v>
      </c>
      <c r="J13" s="49" t="s">
        <v>73</v>
      </c>
      <c r="K13" s="49" t="s">
        <v>193</v>
      </c>
      <c r="L13" s="50" t="s">
        <v>63</v>
      </c>
      <c r="M13" s="49" t="s">
        <v>63</v>
      </c>
      <c r="N13" s="127" t="s">
        <v>63</v>
      </c>
      <c r="P13" s="28" t="s">
        <v>73</v>
      </c>
      <c r="Q13" s="28" t="s">
        <v>193</v>
      </c>
      <c r="R13" s="28">
        <v>7</v>
      </c>
      <c r="S13" s="28" t="s">
        <v>63</v>
      </c>
      <c r="T13" s="28" t="s">
        <v>63</v>
      </c>
    </row>
    <row r="14" spans="2:20" ht="26.5" thickBot="1" x14ac:dyDescent="0.35">
      <c r="B14" s="28" t="s">
        <v>74</v>
      </c>
      <c r="C14" s="34">
        <f>INDEX(Tabel_forfaits_huidig[Afgiftedatum t/m 31-12-2021],MATCH(Tabel_forfaits[[#This Row],[Zaakcode]],Tabel_forfaits_huidig[Zaakcode],0))</f>
        <v>7</v>
      </c>
      <c r="D14" s="229">
        <f>$D$12</f>
        <v>13</v>
      </c>
      <c r="E14" s="34" t="str">
        <f>INDEX(Tabel_forfaits_Cebeon[afgerond],MATCH(Tabel_forfaits[[#This Row],[Zaakcode]],Tabel_forfaits_Cebeon[Zaakcode],0))</f>
        <v>n.v.t.</v>
      </c>
      <c r="F14" s="34">
        <f>IFERROR( INDEX(Tabel_kleine_n[voorstel nieuw forfait],MATCH(Tabel_forfaits[[#This Row],[Zaakcode]],Tabel_kleine_n[Kategorie],0)), 0)</f>
        <v>0</v>
      </c>
      <c r="G14" s="229">
        <f>$G$12</f>
        <v>12</v>
      </c>
      <c r="H14" s="86" t="str">
        <f>$H$8</f>
        <v>forfait P015</v>
      </c>
      <c r="J14" s="47" t="s">
        <v>74</v>
      </c>
      <c r="K14" s="47" t="s">
        <v>194</v>
      </c>
      <c r="L14" s="48" t="s">
        <v>63</v>
      </c>
      <c r="M14" s="47" t="s">
        <v>63</v>
      </c>
      <c r="N14" s="126" t="s">
        <v>63</v>
      </c>
      <c r="P14" s="27" t="s">
        <v>74</v>
      </c>
      <c r="Q14" s="27" t="s">
        <v>194</v>
      </c>
      <c r="R14" s="27">
        <v>7</v>
      </c>
      <c r="S14" s="27" t="s">
        <v>63</v>
      </c>
      <c r="T14" s="27" t="s">
        <v>63</v>
      </c>
    </row>
    <row r="15" spans="2:20" ht="13.5" thickBot="1" x14ac:dyDescent="0.35">
      <c r="B15" s="1" t="s">
        <v>75</v>
      </c>
      <c r="C15" s="34">
        <f>INDEX(Tabel_forfaits_huidig[Afgiftedatum t/m 31-12-2021],MATCH(Tabel_forfaits[[#This Row],[Zaakcode]],Tabel_forfaits_huidig[Zaakcode],0))</f>
        <v>7</v>
      </c>
      <c r="D1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13</v>
      </c>
      <c r="E15" s="34">
        <f>INDEX(Tabel_forfaits_Cebeon[afgerond],MATCH(Tabel_forfaits[[#This Row],[Zaakcode]],Tabel_forfaits_Cebeon[Zaakcode],0))</f>
        <v>14</v>
      </c>
      <c r="F15" s="34">
        <f>IFERROR( INDEX(Tabel_kleine_n[voorstel nieuw forfait],MATCH(Tabel_forfaits[[#This Row],[Zaakcode]],Tabel_kleine_n[Kategorie],0)), 0)</f>
        <v>0</v>
      </c>
      <c r="G1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14</v>
      </c>
      <c r="H15" s="86"/>
      <c r="J15" s="54" t="s">
        <v>75</v>
      </c>
      <c r="K15" s="55" t="s">
        <v>195</v>
      </c>
      <c r="L15" s="56">
        <v>13</v>
      </c>
      <c r="M15" s="55">
        <v>14</v>
      </c>
      <c r="N15" s="127">
        <v>14</v>
      </c>
      <c r="P15" s="1" t="s">
        <v>75</v>
      </c>
      <c r="Q15" s="28" t="s">
        <v>195</v>
      </c>
      <c r="R15" s="28">
        <v>7</v>
      </c>
      <c r="S15" s="28">
        <v>13</v>
      </c>
      <c r="T15" s="28">
        <v>13</v>
      </c>
    </row>
    <row r="16" spans="2:20" ht="13.5" thickBot="1" x14ac:dyDescent="0.35">
      <c r="B16" s="1" t="s">
        <v>76</v>
      </c>
      <c r="C16" s="34">
        <f>INDEX(Tabel_forfaits_huidig[Afgiftedatum t/m 31-12-2021],MATCH(Tabel_forfaits[[#This Row],[Zaakcode]],Tabel_forfaits_huidig[Zaakcode],0))</f>
        <v>7</v>
      </c>
      <c r="D1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16" s="34">
        <f>INDEX(Tabel_forfaits_Cebeon[afgerond],MATCH(Tabel_forfaits[[#This Row],[Zaakcode]],Tabel_forfaits_Cebeon[Zaakcode],0))</f>
        <v>13</v>
      </c>
      <c r="F16" s="34">
        <f>IFERROR( INDEX(Tabel_kleine_n[voorstel nieuw forfait],MATCH(Tabel_forfaits[[#This Row],[Zaakcode]],Tabel_kleine_n[Kategorie],0)), 0)</f>
        <v>0</v>
      </c>
      <c r="G1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16" s="86"/>
      <c r="J16" s="51" t="s">
        <v>76</v>
      </c>
      <c r="K16" s="52" t="s">
        <v>196</v>
      </c>
      <c r="L16" s="53">
        <v>11</v>
      </c>
      <c r="M16" s="52">
        <v>12.2</v>
      </c>
      <c r="N16" s="57">
        <v>13</v>
      </c>
      <c r="P16" s="1" t="s">
        <v>76</v>
      </c>
      <c r="Q16" s="27" t="s">
        <v>196</v>
      </c>
      <c r="R16" s="27">
        <v>7</v>
      </c>
      <c r="S16" s="27">
        <v>11</v>
      </c>
      <c r="T16" s="27">
        <v>11</v>
      </c>
    </row>
    <row r="17" spans="2:20" ht="13.5" thickBot="1" x14ac:dyDescent="0.35">
      <c r="B17" s="1" t="s">
        <v>77</v>
      </c>
      <c r="C17" s="34">
        <f>INDEX(Tabel_forfaits_huidig[Afgiftedatum t/m 31-12-2021],MATCH(Tabel_forfaits[[#This Row],[Zaakcode]],Tabel_forfaits_huidig[Zaakcode],0))</f>
        <v>7</v>
      </c>
      <c r="D1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12</v>
      </c>
      <c r="E17" s="34">
        <f>INDEX(Tabel_forfaits_Cebeon[afgerond],MATCH(Tabel_forfaits[[#This Row],[Zaakcode]],Tabel_forfaits_Cebeon[Zaakcode],0))</f>
        <v>14</v>
      </c>
      <c r="F17" s="34">
        <f>IFERROR( INDEX(Tabel_kleine_n[voorstel nieuw forfait],MATCH(Tabel_forfaits[[#This Row],[Zaakcode]],Tabel_kleine_n[Kategorie],0)), 0)</f>
        <v>0</v>
      </c>
      <c r="G1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14</v>
      </c>
      <c r="H17" s="86"/>
      <c r="J17" s="54" t="s">
        <v>77</v>
      </c>
      <c r="K17" s="55" t="s">
        <v>197</v>
      </c>
      <c r="L17" s="56">
        <v>12</v>
      </c>
      <c r="M17" s="55">
        <v>14</v>
      </c>
      <c r="N17" s="127">
        <v>14</v>
      </c>
      <c r="P17" s="1" t="s">
        <v>77</v>
      </c>
      <c r="Q17" s="28" t="s">
        <v>197</v>
      </c>
      <c r="R17" s="28">
        <v>7</v>
      </c>
      <c r="S17" s="28">
        <v>12</v>
      </c>
      <c r="T17" s="28">
        <v>12</v>
      </c>
    </row>
    <row r="18" spans="2:20" ht="13.5" thickBot="1" x14ac:dyDescent="0.35">
      <c r="B18" s="1" t="s">
        <v>78</v>
      </c>
      <c r="C18" s="34">
        <f>INDEX(Tabel_forfaits_huidig[Afgiftedatum t/m 31-12-2021],MATCH(Tabel_forfaits[[#This Row],[Zaakcode]],Tabel_forfaits_huidig[Zaakcode],0))</f>
        <v>7</v>
      </c>
      <c r="D1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18" s="34">
        <f>INDEX(Tabel_forfaits_Cebeon[afgerond],MATCH(Tabel_forfaits[[#This Row],[Zaakcode]],Tabel_forfaits_Cebeon[Zaakcode],0))</f>
        <v>6</v>
      </c>
      <c r="F18" s="34">
        <f>IFERROR( INDEX(Tabel_kleine_n[voorstel nieuw forfait],MATCH(Tabel_forfaits[[#This Row],[Zaakcode]],Tabel_kleine_n[Kategorie],0)), 0)</f>
        <v>0</v>
      </c>
      <c r="G1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18" s="86"/>
      <c r="J18" s="51" t="s">
        <v>78</v>
      </c>
      <c r="K18" s="52" t="s">
        <v>198</v>
      </c>
      <c r="L18" s="53">
        <v>6</v>
      </c>
      <c r="M18" s="52">
        <v>6.5</v>
      </c>
      <c r="N18" s="57">
        <v>6</v>
      </c>
      <c r="P18" s="1" t="s">
        <v>78</v>
      </c>
      <c r="Q18" s="27" t="s">
        <v>198</v>
      </c>
      <c r="R18" s="27">
        <v>7</v>
      </c>
      <c r="S18" s="27">
        <v>7</v>
      </c>
      <c r="T18" s="27">
        <v>6</v>
      </c>
    </row>
    <row r="19" spans="2:20" ht="13.5" thickBot="1" x14ac:dyDescent="0.35">
      <c r="B19" s="1" t="s">
        <v>79</v>
      </c>
      <c r="C19" s="34">
        <f>INDEX(Tabel_forfaits_huidig[Afgiftedatum t/m 31-12-2021],MATCH(Tabel_forfaits[[#This Row],[Zaakcode]],Tabel_forfaits_huidig[Zaakcode],0))</f>
        <v>7</v>
      </c>
      <c r="D1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19" s="34">
        <f>INDEX(Tabel_forfaits_Cebeon[afgerond],MATCH(Tabel_forfaits[[#This Row],[Zaakcode]],Tabel_forfaits_Cebeon[Zaakcode],0))</f>
        <v>8</v>
      </c>
      <c r="F19" s="34">
        <f>IFERROR( INDEX(Tabel_kleine_n[voorstel nieuw forfait],MATCH(Tabel_forfaits[[#This Row],[Zaakcode]],Tabel_kleine_n[Kategorie],0)), 0)</f>
        <v>0</v>
      </c>
      <c r="G1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9" s="86"/>
      <c r="J19" s="54" t="s">
        <v>79</v>
      </c>
      <c r="K19" s="55" t="s">
        <v>199</v>
      </c>
      <c r="L19" s="56">
        <v>8</v>
      </c>
      <c r="M19" s="55">
        <v>8.4</v>
      </c>
      <c r="N19" s="127">
        <v>8</v>
      </c>
      <c r="P19" s="1" t="s">
        <v>79</v>
      </c>
      <c r="Q19" s="28" t="s">
        <v>199</v>
      </c>
      <c r="R19" s="28">
        <v>7</v>
      </c>
      <c r="S19" s="28">
        <v>8</v>
      </c>
      <c r="T19" s="28">
        <v>8</v>
      </c>
    </row>
    <row r="20" spans="2:20" ht="13.5" thickBot="1" x14ac:dyDescent="0.35">
      <c r="B20" s="1" t="s">
        <v>80</v>
      </c>
      <c r="C20" s="34">
        <f>INDEX(Tabel_forfaits_huidig[Afgiftedatum t/m 31-12-2021],MATCH(Tabel_forfaits[[#This Row],[Zaakcode]],Tabel_forfaits_huidig[Zaakcode],0))</f>
        <v>12</v>
      </c>
      <c r="D2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21</v>
      </c>
      <c r="E20" s="34">
        <f>INDEX(Tabel_forfaits_Cebeon[afgerond],MATCH(Tabel_forfaits[[#This Row],[Zaakcode]],Tabel_forfaits_Cebeon[Zaakcode],0))</f>
        <v>0</v>
      </c>
      <c r="F20" s="34">
        <f>IFERROR( INDEX(Tabel_kleine_n[voorstel nieuw forfait],MATCH(Tabel_forfaits[[#This Row],[Zaakcode]],Tabel_kleine_n[Kategorie],0)), 0)</f>
        <v>22</v>
      </c>
      <c r="G2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22</v>
      </c>
      <c r="H20" s="86" t="s">
        <v>549</v>
      </c>
      <c r="J20" s="58" t="s">
        <v>80</v>
      </c>
      <c r="K20" s="59" t="s">
        <v>200</v>
      </c>
      <c r="L20" s="60">
        <v>21</v>
      </c>
      <c r="M20" s="59"/>
      <c r="N20" s="126"/>
      <c r="P20" s="1" t="s">
        <v>80</v>
      </c>
      <c r="Q20" s="27" t="s">
        <v>200</v>
      </c>
      <c r="R20" s="27">
        <v>12</v>
      </c>
      <c r="S20" s="27">
        <v>21</v>
      </c>
      <c r="T20" s="27">
        <v>21</v>
      </c>
    </row>
    <row r="21" spans="2:20" ht="13.5" thickBot="1" x14ac:dyDescent="0.35">
      <c r="B21" s="1" t="s">
        <v>81</v>
      </c>
      <c r="C21" s="34">
        <f>INDEX(Tabel_forfaits_huidig[Afgiftedatum t/m 31-12-2021],MATCH(Tabel_forfaits[[#This Row],[Zaakcode]],Tabel_forfaits_huidig[Zaakcode],0))</f>
        <v>7</v>
      </c>
      <c r="D2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21" s="34">
        <f>INDEX(Tabel_forfaits_Cebeon[afgerond],MATCH(Tabel_forfaits[[#This Row],[Zaakcode]],Tabel_forfaits_Cebeon[Zaakcode],0))</f>
        <v>0</v>
      </c>
      <c r="F21" s="34">
        <f>IFERROR( INDEX(Tabel_kleine_n[voorstel nieuw forfait],MATCH(Tabel_forfaits[[#This Row],[Zaakcode]],Tabel_kleine_n[Kategorie],0)), 0)</f>
        <v>11</v>
      </c>
      <c r="G2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21" s="86" t="str">
        <f>$H$20</f>
        <v>kleine n</v>
      </c>
      <c r="J21" s="61" t="s">
        <v>81</v>
      </c>
      <c r="K21" s="62" t="s">
        <v>201</v>
      </c>
      <c r="L21" s="63">
        <v>11</v>
      </c>
      <c r="M21" s="62"/>
      <c r="N21" s="127"/>
      <c r="P21" s="1" t="s">
        <v>81</v>
      </c>
      <c r="Q21" s="28" t="s">
        <v>201</v>
      </c>
      <c r="R21" s="28">
        <v>7</v>
      </c>
      <c r="S21" s="28">
        <v>11</v>
      </c>
      <c r="T21" s="28">
        <v>11</v>
      </c>
    </row>
    <row r="22" spans="2:20" ht="13.5" thickBot="1" x14ac:dyDescent="0.35">
      <c r="B22" s="1" t="s">
        <v>82</v>
      </c>
      <c r="C22" s="34">
        <f>INDEX(Tabel_forfaits_huidig[Afgiftedatum t/m 31-12-2021],MATCH(Tabel_forfaits[[#This Row],[Zaakcode]],Tabel_forfaits_huidig[Zaakcode],0))</f>
        <v>7</v>
      </c>
      <c r="D2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22" s="34">
        <f>INDEX(Tabel_forfaits_Cebeon[afgerond],MATCH(Tabel_forfaits[[#This Row],[Zaakcode]],Tabel_forfaits_Cebeon[Zaakcode],0))</f>
        <v>10</v>
      </c>
      <c r="F22" s="34">
        <f>IFERROR( INDEX(Tabel_kleine_n[voorstel nieuw forfait],MATCH(Tabel_forfaits[[#This Row],[Zaakcode]],Tabel_kleine_n[Kategorie],0)), 0)</f>
        <v>0</v>
      </c>
      <c r="G2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22" s="86"/>
      <c r="J22" s="51" t="s">
        <v>82</v>
      </c>
      <c r="K22" s="52" t="s">
        <v>202</v>
      </c>
      <c r="L22" s="53">
        <v>10</v>
      </c>
      <c r="M22" s="52">
        <v>10.1</v>
      </c>
      <c r="N22" s="126">
        <v>10</v>
      </c>
      <c r="P22" s="1" t="s">
        <v>82</v>
      </c>
      <c r="Q22" s="27" t="s">
        <v>202</v>
      </c>
      <c r="R22" s="27">
        <v>7</v>
      </c>
      <c r="S22" s="27">
        <v>10</v>
      </c>
      <c r="T22" s="27">
        <v>10</v>
      </c>
    </row>
    <row r="23" spans="2:20" ht="13.5" thickBot="1" x14ac:dyDescent="0.35">
      <c r="B23" s="1" t="s">
        <v>83</v>
      </c>
      <c r="C23" s="34">
        <f>INDEX(Tabel_forfaits_huidig[Afgiftedatum t/m 31-12-2021],MATCH(Tabel_forfaits[[#This Row],[Zaakcode]],Tabel_forfaits_huidig[Zaakcode],0))</f>
        <v>7</v>
      </c>
      <c r="D2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23" s="34">
        <f>INDEX(Tabel_forfaits_Cebeon[afgerond],MATCH(Tabel_forfaits[[#This Row],[Zaakcode]],Tabel_forfaits_Cebeon[Zaakcode],0))</f>
        <v>0</v>
      </c>
      <c r="F23" s="34">
        <f>IFERROR( INDEX(Tabel_kleine_n[voorstel nieuw forfait],MATCH(Tabel_forfaits[[#This Row],[Zaakcode]],Tabel_kleine_n[Kategorie],0)), 0)</f>
        <v>9</v>
      </c>
      <c r="G2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23" s="86" t="str">
        <f>$H$20</f>
        <v>kleine n</v>
      </c>
      <c r="J23" s="61" t="s">
        <v>83</v>
      </c>
      <c r="K23" s="62" t="s">
        <v>203</v>
      </c>
      <c r="L23" s="63">
        <v>8</v>
      </c>
      <c r="M23" s="62"/>
      <c r="N23" s="127"/>
      <c r="P23" s="1" t="s">
        <v>83</v>
      </c>
      <c r="Q23" s="28" t="s">
        <v>203</v>
      </c>
      <c r="R23" s="28">
        <v>7</v>
      </c>
      <c r="S23" s="28">
        <v>8</v>
      </c>
      <c r="T23" s="28">
        <v>8</v>
      </c>
    </row>
    <row r="24" spans="2:20" ht="13.5" thickBot="1" x14ac:dyDescent="0.35">
      <c r="B24" s="1" t="s">
        <v>84</v>
      </c>
      <c r="C24" s="34">
        <f>INDEX(Tabel_forfaits_huidig[Afgiftedatum t/m 31-12-2021],MATCH(Tabel_forfaits[[#This Row],[Zaakcode]],Tabel_forfaits_huidig[Zaakcode],0))</f>
        <v>7</v>
      </c>
      <c r="D2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24" s="34">
        <f>INDEX(Tabel_forfaits_Cebeon[afgerond],MATCH(Tabel_forfaits[[#This Row],[Zaakcode]],Tabel_forfaits_Cebeon[Zaakcode],0))</f>
        <v>13</v>
      </c>
      <c r="F24" s="34">
        <f>IFERROR( INDEX(Tabel_kleine_n[voorstel nieuw forfait],MATCH(Tabel_forfaits[[#This Row],[Zaakcode]],Tabel_kleine_n[Kategorie],0)), 0)</f>
        <v>0</v>
      </c>
      <c r="G2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24" s="86"/>
      <c r="J24" s="51" t="s">
        <v>84</v>
      </c>
      <c r="K24" s="52" t="s">
        <v>204</v>
      </c>
      <c r="L24" s="53">
        <v>10</v>
      </c>
      <c r="M24" s="52">
        <v>12.9</v>
      </c>
      <c r="N24" s="126">
        <v>13</v>
      </c>
      <c r="P24" s="1" t="s">
        <v>84</v>
      </c>
      <c r="Q24" s="27" t="s">
        <v>204</v>
      </c>
      <c r="R24" s="27">
        <v>7</v>
      </c>
      <c r="S24" s="27">
        <v>10</v>
      </c>
      <c r="T24" s="27">
        <v>10</v>
      </c>
    </row>
    <row r="25" spans="2:20" ht="13.5" thickBot="1" x14ac:dyDescent="0.35">
      <c r="B25" s="1" t="s">
        <v>85</v>
      </c>
      <c r="C25" s="34" t="str">
        <f>INDEX(Tabel_forfaits_huidig[Afgiftedatum t/m 31-12-2021],MATCH(Tabel_forfaits[[#This Row],[Zaakcode]],Tabel_forfaits_huidig[Zaakcode],0))</f>
        <v>n.v.t.</v>
      </c>
      <c r="D2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25" s="34">
        <f>INDEX(Tabel_forfaits_Cebeon[afgerond],MATCH(Tabel_forfaits[[#This Row],[Zaakcode]],Tabel_forfaits_Cebeon[Zaakcode],0))</f>
        <v>13</v>
      </c>
      <c r="F25" s="34">
        <f>IFERROR( INDEX(Tabel_kleine_n[voorstel nieuw forfait],MATCH(Tabel_forfaits[[#This Row],[Zaakcode]],Tabel_kleine_n[Kategorie],0)), 0)</f>
        <v>0</v>
      </c>
      <c r="G2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25" s="86"/>
      <c r="J25" s="54" t="s">
        <v>85</v>
      </c>
      <c r="K25" s="55" t="s">
        <v>205</v>
      </c>
      <c r="L25" s="56">
        <v>10</v>
      </c>
      <c r="M25" s="55">
        <v>12.6</v>
      </c>
      <c r="N25" s="127">
        <v>13</v>
      </c>
      <c r="P25" s="1" t="s">
        <v>85</v>
      </c>
      <c r="Q25" s="28" t="s">
        <v>205</v>
      </c>
      <c r="R25" s="28" t="s">
        <v>63</v>
      </c>
      <c r="S25" s="28">
        <v>10</v>
      </c>
      <c r="T25" s="28">
        <v>10</v>
      </c>
    </row>
    <row r="26" spans="2:20" ht="13.5" thickBot="1" x14ac:dyDescent="0.35">
      <c r="B26" s="1" t="s">
        <v>86</v>
      </c>
      <c r="C26" s="34">
        <f>INDEX(Tabel_forfaits_huidig[Afgiftedatum t/m 31-12-2021],MATCH(Tabel_forfaits[[#This Row],[Zaakcode]],Tabel_forfaits_huidig[Zaakcode],0))</f>
        <v>7</v>
      </c>
      <c r="D2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12</v>
      </c>
      <c r="E26" s="34">
        <f>INDEX(Tabel_forfaits_Cebeon[afgerond],MATCH(Tabel_forfaits[[#This Row],[Zaakcode]],Tabel_forfaits_Cebeon[Zaakcode],0))</f>
        <v>13</v>
      </c>
      <c r="F26" s="34">
        <f>IFERROR( INDEX(Tabel_kleine_n[voorstel nieuw forfait],MATCH(Tabel_forfaits[[#This Row],[Zaakcode]],Tabel_kleine_n[Kategorie],0)), 0)</f>
        <v>0</v>
      </c>
      <c r="G2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26" s="86"/>
      <c r="J26" s="51" t="s">
        <v>86</v>
      </c>
      <c r="K26" s="52" t="s">
        <v>206</v>
      </c>
      <c r="L26" s="53">
        <v>12</v>
      </c>
      <c r="M26" s="64">
        <v>13</v>
      </c>
      <c r="N26" s="126">
        <v>13</v>
      </c>
      <c r="P26" s="1" t="s">
        <v>86</v>
      </c>
      <c r="Q26" s="27" t="s">
        <v>206</v>
      </c>
      <c r="R26" s="27">
        <v>7</v>
      </c>
      <c r="S26" s="27">
        <v>12</v>
      </c>
      <c r="T26" s="27">
        <v>12</v>
      </c>
    </row>
    <row r="27" spans="2:20" ht="26.5" thickBot="1" x14ac:dyDescent="0.35">
      <c r="C27" s="34"/>
      <c r="D27" s="34"/>
      <c r="E27" s="34"/>
      <c r="F27" s="34">
        <f>IFERROR( INDEX(Tabel_kleine_n[voorstel nieuw forfait],MATCH(Tabel_forfaits[[#This Row],[Zaakcode]],Tabel_kleine_n[Kategorie],0)), 0)</f>
        <v>0</v>
      </c>
      <c r="G2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27" s="86"/>
      <c r="J27" s="45" t="s">
        <v>207</v>
      </c>
      <c r="K27" s="46"/>
      <c r="L27" s="65"/>
      <c r="M27" s="46"/>
      <c r="N27" s="125"/>
      <c r="P27" s="26" t="s">
        <v>207</v>
      </c>
      <c r="Q27" s="23"/>
      <c r="R27" s="23"/>
      <c r="S27" s="23"/>
      <c r="T27" s="23"/>
    </row>
    <row r="28" spans="2:20" ht="13.5" thickBot="1" x14ac:dyDescent="0.35">
      <c r="B28" s="1" t="s">
        <v>95</v>
      </c>
      <c r="C28" s="34">
        <f>INDEX(Tabel_forfaits_huidig[Afgiftedatum t/m 31-12-2021],MATCH(Tabel_forfaits[[#This Row],[Zaakcode]],Tabel_forfaits_huidig[Zaakcode],0))</f>
        <v>8</v>
      </c>
      <c r="D2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28" s="34">
        <f>INDEX(Tabel_forfaits_Cebeon[afgerond],MATCH(Tabel_forfaits[[#This Row],[Zaakcode]],Tabel_forfaits_Cebeon[Zaakcode],0))</f>
        <v>8</v>
      </c>
      <c r="F28" s="34">
        <f>IFERROR( INDEX(Tabel_kleine_n[voorstel nieuw forfait],MATCH(Tabel_forfaits[[#This Row],[Zaakcode]],Tabel_kleine_n[Kategorie],0)), 0)</f>
        <v>0</v>
      </c>
      <c r="G2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28" s="86"/>
      <c r="J28" s="51" t="s">
        <v>95</v>
      </c>
      <c r="K28" s="52" t="s">
        <v>208</v>
      </c>
      <c r="L28" s="53">
        <v>8</v>
      </c>
      <c r="M28" s="52">
        <v>8.4</v>
      </c>
      <c r="N28" s="126">
        <v>8</v>
      </c>
      <c r="P28" s="1" t="s">
        <v>95</v>
      </c>
      <c r="Q28" s="27" t="s">
        <v>208</v>
      </c>
      <c r="R28" s="27">
        <v>8</v>
      </c>
      <c r="S28" s="27">
        <v>8</v>
      </c>
      <c r="T28" s="27">
        <v>8</v>
      </c>
    </row>
    <row r="29" spans="2:20" ht="13.5" thickBot="1" x14ac:dyDescent="0.35">
      <c r="B29" s="1" t="s">
        <v>96</v>
      </c>
      <c r="C29" s="34">
        <f>INDEX(Tabel_forfaits_huidig[Afgiftedatum t/m 31-12-2021],MATCH(Tabel_forfaits[[#This Row],[Zaakcode]],Tabel_forfaits_huidig[Zaakcode],0))</f>
        <v>8</v>
      </c>
      <c r="D2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29" s="34">
        <f>INDEX(Tabel_forfaits_Cebeon[afgerond],MATCH(Tabel_forfaits[[#This Row],[Zaakcode]],Tabel_forfaits_Cebeon[Zaakcode],0))</f>
        <v>10</v>
      </c>
      <c r="F29" s="34">
        <f>IFERROR( INDEX(Tabel_kleine_n[voorstel nieuw forfait],MATCH(Tabel_forfaits[[#This Row],[Zaakcode]],Tabel_kleine_n[Kategorie],0)), 0)</f>
        <v>0</v>
      </c>
      <c r="G2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29" s="86"/>
      <c r="J29" s="54" t="s">
        <v>96</v>
      </c>
      <c r="K29" s="55" t="s">
        <v>209</v>
      </c>
      <c r="L29" s="56">
        <v>8</v>
      </c>
      <c r="M29" s="55">
        <v>10.3</v>
      </c>
      <c r="N29" s="127">
        <v>10</v>
      </c>
      <c r="P29" s="1" t="s">
        <v>96</v>
      </c>
      <c r="Q29" s="28" t="s">
        <v>209</v>
      </c>
      <c r="R29" s="28">
        <v>8</v>
      </c>
      <c r="S29" s="28">
        <v>8</v>
      </c>
      <c r="T29" s="28">
        <v>8</v>
      </c>
    </row>
    <row r="30" spans="2:20" ht="13.5" thickBot="1" x14ac:dyDescent="0.35">
      <c r="B30" s="1" t="s">
        <v>97</v>
      </c>
      <c r="C30" s="34">
        <f>INDEX(Tabel_forfaits_huidig[Afgiftedatum t/m 31-12-2021],MATCH(Tabel_forfaits[[#This Row],[Zaakcode]],Tabel_forfaits_huidig[Zaakcode],0))</f>
        <v>8</v>
      </c>
      <c r="D3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30" s="34">
        <f>INDEX(Tabel_forfaits_Cebeon[afgerond],MATCH(Tabel_forfaits[[#This Row],[Zaakcode]],Tabel_forfaits_Cebeon[Zaakcode],0))</f>
        <v>0</v>
      </c>
      <c r="F30" s="34">
        <f>IFERROR( INDEX(Tabel_kleine_n[voorstel nieuw forfait],MATCH(Tabel_forfaits[[#This Row],[Zaakcode]],Tabel_kleine_n[Kategorie],0)), 0)</f>
        <v>10</v>
      </c>
      <c r="G3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30" s="86" t="str">
        <f>$H$20</f>
        <v>kleine n</v>
      </c>
      <c r="J30" s="58" t="s">
        <v>97</v>
      </c>
      <c r="K30" s="59" t="s">
        <v>210</v>
      </c>
      <c r="L30" s="60">
        <v>9</v>
      </c>
      <c r="M30" s="59"/>
      <c r="N30" s="126"/>
      <c r="P30" s="1" t="s">
        <v>97</v>
      </c>
      <c r="Q30" s="27" t="s">
        <v>210</v>
      </c>
      <c r="R30" s="27">
        <v>8</v>
      </c>
      <c r="S30" s="27">
        <v>9</v>
      </c>
      <c r="T30" s="27">
        <v>9</v>
      </c>
    </row>
    <row r="31" spans="2:20" ht="13.5" thickBot="1" x14ac:dyDescent="0.35">
      <c r="B31" s="28" t="s">
        <v>98</v>
      </c>
      <c r="C31" s="34">
        <f>INDEX(Tabel_forfaits_huidig[Afgiftedatum t/m 31-12-2021],MATCH(Tabel_forfaits[[#This Row],[Zaakcode]],Tabel_forfaits_huidig[Zaakcode],0))</f>
        <v>8</v>
      </c>
      <c r="D3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31" s="34">
        <f>INDEX(Tabel_forfaits_Cebeon[afgerond],MATCH(Tabel_forfaits[[#This Row],[Zaakcode]],Tabel_forfaits_Cebeon[Zaakcode],0))</f>
        <v>6</v>
      </c>
      <c r="F31" s="34">
        <f>IFERROR( INDEX(Tabel_kleine_n[voorstel nieuw forfait],MATCH(Tabel_forfaits[[#This Row],[Zaakcode]],Tabel_kleine_n[Kategorie],0)), 0)</f>
        <v>0</v>
      </c>
      <c r="G3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31" s="86" t="s">
        <v>393</v>
      </c>
      <c r="J31" s="66" t="s">
        <v>98</v>
      </c>
      <c r="K31" s="66" t="s">
        <v>211</v>
      </c>
      <c r="L31" s="56">
        <v>8</v>
      </c>
      <c r="M31" s="55">
        <v>6.1</v>
      </c>
      <c r="N31" s="127">
        <v>6</v>
      </c>
      <c r="P31" s="28" t="s">
        <v>98</v>
      </c>
      <c r="Q31" s="28" t="s">
        <v>211</v>
      </c>
      <c r="R31" s="28">
        <v>8</v>
      </c>
      <c r="S31" s="28">
        <v>8</v>
      </c>
      <c r="T31" s="28">
        <v>8</v>
      </c>
    </row>
    <row r="32" spans="2:20" ht="13.5" thickBot="1" x14ac:dyDescent="0.35">
      <c r="B32" s="1" t="s">
        <v>99</v>
      </c>
      <c r="C32" s="34">
        <f>INDEX(Tabel_forfaits_huidig[Afgiftedatum t/m 31-12-2021],MATCH(Tabel_forfaits[[#This Row],[Zaakcode]],Tabel_forfaits_huidig[Zaakcode],0))</f>
        <v>7</v>
      </c>
      <c r="D3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32" s="34">
        <f>INDEX(Tabel_forfaits_Cebeon[afgerond],MATCH(Tabel_forfaits[[#This Row],[Zaakcode]],Tabel_forfaits_Cebeon[Zaakcode],0))</f>
        <v>0</v>
      </c>
      <c r="F32" s="34">
        <f>IFERROR( INDEX(Tabel_kleine_n[voorstel nieuw forfait],MATCH(Tabel_forfaits[[#This Row],[Zaakcode]],Tabel_kleine_n[Kategorie],0)), 0)</f>
        <v>11</v>
      </c>
      <c r="G3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32" s="86" t="str">
        <f>$H$20</f>
        <v>kleine n</v>
      </c>
      <c r="J32" s="58" t="s">
        <v>99</v>
      </c>
      <c r="K32" s="59" t="s">
        <v>212</v>
      </c>
      <c r="L32" s="60">
        <v>9</v>
      </c>
      <c r="M32" s="59"/>
      <c r="N32" s="126"/>
      <c r="P32" s="1" t="s">
        <v>99</v>
      </c>
      <c r="Q32" s="27" t="s">
        <v>212</v>
      </c>
      <c r="R32" s="27">
        <v>7</v>
      </c>
      <c r="S32" s="27">
        <v>9</v>
      </c>
      <c r="T32" s="27">
        <v>9</v>
      </c>
    </row>
    <row r="33" spans="2:20" ht="13.5" thickBot="1" x14ac:dyDescent="0.35">
      <c r="B33" s="1" t="s">
        <v>100</v>
      </c>
      <c r="C33" s="34">
        <f>INDEX(Tabel_forfaits_huidig[Afgiftedatum t/m 31-12-2021],MATCH(Tabel_forfaits[[#This Row],[Zaakcode]],Tabel_forfaits_huidig[Zaakcode],0))</f>
        <v>8</v>
      </c>
      <c r="D3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33" s="34">
        <f>INDEX(Tabel_forfaits_Cebeon[afgerond],MATCH(Tabel_forfaits[[#This Row],[Zaakcode]],Tabel_forfaits_Cebeon[Zaakcode],0))</f>
        <v>9</v>
      </c>
      <c r="F33" s="34">
        <f>IFERROR( INDEX(Tabel_kleine_n[voorstel nieuw forfait],MATCH(Tabel_forfaits[[#This Row],[Zaakcode]],Tabel_kleine_n[Kategorie],0)), 0)</f>
        <v>0</v>
      </c>
      <c r="G3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33" s="86"/>
      <c r="J33" s="54" t="s">
        <v>100</v>
      </c>
      <c r="K33" s="55" t="s">
        <v>213</v>
      </c>
      <c r="L33" s="56">
        <v>10</v>
      </c>
      <c r="M33" s="55">
        <v>9.1999999999999993</v>
      </c>
      <c r="N33" s="127">
        <v>9</v>
      </c>
      <c r="P33" s="1" t="s">
        <v>100</v>
      </c>
      <c r="Q33" s="28" t="s">
        <v>213</v>
      </c>
      <c r="R33" s="28">
        <v>8</v>
      </c>
      <c r="S33" s="28">
        <v>10</v>
      </c>
      <c r="T33" s="28">
        <v>10</v>
      </c>
    </row>
    <row r="34" spans="2:20" ht="13.5" thickBot="1" x14ac:dyDescent="0.35">
      <c r="B34" s="1" t="s">
        <v>101</v>
      </c>
      <c r="C34" s="34">
        <f>INDEX(Tabel_forfaits_huidig[Afgiftedatum t/m 31-12-2021],MATCH(Tabel_forfaits[[#This Row],[Zaakcode]],Tabel_forfaits_huidig[Zaakcode],0))</f>
        <v>5</v>
      </c>
      <c r="D3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34" s="34">
        <f>INDEX(Tabel_forfaits_Cebeon[afgerond],MATCH(Tabel_forfaits[[#This Row],[Zaakcode]],Tabel_forfaits_Cebeon[Zaakcode],0))</f>
        <v>7</v>
      </c>
      <c r="F34" s="34">
        <f>IFERROR( INDEX(Tabel_kleine_n[voorstel nieuw forfait],MATCH(Tabel_forfaits[[#This Row],[Zaakcode]],Tabel_kleine_n[Kategorie],0)), 0)</f>
        <v>0</v>
      </c>
      <c r="G3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34" s="86"/>
      <c r="J34" s="51" t="s">
        <v>101</v>
      </c>
      <c r="K34" s="52" t="s">
        <v>214</v>
      </c>
      <c r="L34" s="53">
        <v>6</v>
      </c>
      <c r="M34" s="52">
        <v>6.9</v>
      </c>
      <c r="N34" s="126">
        <v>7</v>
      </c>
      <c r="P34" s="1" t="s">
        <v>101</v>
      </c>
      <c r="Q34" s="27" t="s">
        <v>214</v>
      </c>
      <c r="R34" s="27">
        <v>5</v>
      </c>
      <c r="S34" s="27">
        <v>6</v>
      </c>
      <c r="T34" s="27">
        <v>6</v>
      </c>
    </row>
    <row r="35" spans="2:20" ht="13.5" thickBot="1" x14ac:dyDescent="0.35">
      <c r="B35" s="28" t="s">
        <v>359</v>
      </c>
      <c r="C35" s="34">
        <f>INDEX(Tabel_forfaits_huidig[Afgiftedatum t/m 31-12-2021],MATCH(Tabel_forfaits[[#This Row],[Zaakcode]],Tabel_forfaits_huidig[Zaakcode],0))</f>
        <v>8</v>
      </c>
      <c r="D3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35" s="34" t="str">
        <f>INDEX(Tabel_forfaits_Cebeon[afgerond],MATCH(Tabel_forfaits[[#This Row],[Zaakcode]],Tabel_forfaits_Cebeon[Zaakcode],0))</f>
        <v>n.v.t.</v>
      </c>
      <c r="F35" s="34">
        <f>IFERROR( INDEX(Tabel_kleine_n[voorstel nieuw forfait],MATCH(Tabel_forfaits[[#This Row],[Zaakcode]],Tabel_kleine_n[Kategorie],0)), 0)</f>
        <v>0</v>
      </c>
      <c r="G35"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35" s="86" t="s">
        <v>705</v>
      </c>
      <c r="J35" s="49" t="s">
        <v>359</v>
      </c>
      <c r="K35" s="49" t="s">
        <v>215</v>
      </c>
      <c r="L35" s="50" t="s">
        <v>63</v>
      </c>
      <c r="M35" s="49" t="s">
        <v>63</v>
      </c>
      <c r="N35" s="127" t="s">
        <v>63</v>
      </c>
      <c r="P35" s="28" t="s">
        <v>359</v>
      </c>
      <c r="Q35" s="28" t="s">
        <v>215</v>
      </c>
      <c r="R35" s="28">
        <v>8</v>
      </c>
      <c r="S35" s="28" t="s">
        <v>63</v>
      </c>
      <c r="T35" s="28" t="s">
        <v>63</v>
      </c>
    </row>
    <row r="36" spans="2:20" ht="13.5" thickBot="1" x14ac:dyDescent="0.35">
      <c r="B36" s="28" t="s">
        <v>360</v>
      </c>
      <c r="C36" s="34">
        <f>INDEX(Tabel_forfaits_huidig[Afgiftedatum t/m 31-12-2021],MATCH(Tabel_forfaits[[#This Row],[Zaakcode]],Tabel_forfaits_huidig[Zaakcode],0))</f>
        <v>7</v>
      </c>
      <c r="D3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36" s="34" t="str">
        <f>INDEX(Tabel_forfaits_Cebeon[afgerond],MATCH(Tabel_forfaits[[#This Row],[Zaakcode]],Tabel_forfaits_Cebeon[Zaakcode],0))</f>
        <v>n.v.t.</v>
      </c>
      <c r="F36" s="34">
        <f>IFERROR( INDEX(Tabel_kleine_n[voorstel nieuw forfait],MATCH(Tabel_forfaits[[#This Row],[Zaakcode]],Tabel_kleine_n[Kategorie],0)), 0)</f>
        <v>0</v>
      </c>
      <c r="G36"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36" s="86" t="s">
        <v>705</v>
      </c>
      <c r="J36" s="47" t="s">
        <v>360</v>
      </c>
      <c r="K36" s="47" t="s">
        <v>216</v>
      </c>
      <c r="L36" s="48" t="s">
        <v>63</v>
      </c>
      <c r="M36" s="47" t="s">
        <v>63</v>
      </c>
      <c r="N36" s="126" t="s">
        <v>63</v>
      </c>
      <c r="P36" s="27" t="s">
        <v>360</v>
      </c>
      <c r="Q36" s="27" t="s">
        <v>216</v>
      </c>
      <c r="R36" s="27">
        <v>7</v>
      </c>
      <c r="S36" s="27" t="s">
        <v>63</v>
      </c>
      <c r="T36" s="27" t="s">
        <v>63</v>
      </c>
    </row>
    <row r="37" spans="2:20" ht="13.5" thickBot="1" x14ac:dyDescent="0.35">
      <c r="B37" s="28" t="s">
        <v>361</v>
      </c>
      <c r="C37" s="34">
        <f>INDEX(Tabel_forfaits_huidig[Afgiftedatum t/m 31-12-2021],MATCH(Tabel_forfaits[[#This Row],[Zaakcode]],Tabel_forfaits_huidig[Zaakcode],0))</f>
        <v>8</v>
      </c>
      <c r="D3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37" s="34" t="str">
        <f>INDEX(Tabel_forfaits_Cebeon[afgerond],MATCH(Tabel_forfaits[[#This Row],[Zaakcode]],Tabel_forfaits_Cebeon[Zaakcode],0))</f>
        <v>n.v.t.</v>
      </c>
      <c r="F37" s="34">
        <f>IFERROR( INDEX(Tabel_kleine_n[voorstel nieuw forfait],MATCH(Tabel_forfaits[[#This Row],[Zaakcode]],Tabel_kleine_n[Kategorie],0)), 0)</f>
        <v>0</v>
      </c>
      <c r="G37"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37" s="86" t="s">
        <v>705</v>
      </c>
      <c r="J37" s="49" t="s">
        <v>361</v>
      </c>
      <c r="K37" s="49" t="s">
        <v>217</v>
      </c>
      <c r="L37" s="50" t="s">
        <v>63</v>
      </c>
      <c r="M37" s="49" t="s">
        <v>63</v>
      </c>
      <c r="N37" s="127" t="s">
        <v>63</v>
      </c>
      <c r="P37" s="28" t="s">
        <v>361</v>
      </c>
      <c r="Q37" s="28" t="s">
        <v>217</v>
      </c>
      <c r="R37" s="28">
        <v>8</v>
      </c>
      <c r="S37" s="28" t="s">
        <v>63</v>
      </c>
      <c r="T37" s="28" t="s">
        <v>63</v>
      </c>
    </row>
    <row r="38" spans="2:20" ht="13.5" thickBot="1" x14ac:dyDescent="0.35">
      <c r="B38" s="28" t="s">
        <v>362</v>
      </c>
      <c r="C38" s="34">
        <f>INDEX(Tabel_forfaits_huidig[Afgiftedatum t/m 31-12-2021],MATCH(Tabel_forfaits[[#This Row],[Zaakcode]],Tabel_forfaits_huidig[Zaakcode],0))</f>
        <v>5</v>
      </c>
      <c r="D3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38" s="34" t="str">
        <f>INDEX(Tabel_forfaits_Cebeon[afgerond],MATCH(Tabel_forfaits[[#This Row],[Zaakcode]],Tabel_forfaits_Cebeon[Zaakcode],0))</f>
        <v>n.v.t.</v>
      </c>
      <c r="F38" s="34">
        <f>IFERROR( INDEX(Tabel_kleine_n[voorstel nieuw forfait],MATCH(Tabel_forfaits[[#This Row],[Zaakcode]],Tabel_kleine_n[Kategorie],0)), 0)</f>
        <v>0</v>
      </c>
      <c r="G38"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38" s="86" t="s">
        <v>705</v>
      </c>
      <c r="J38" s="47" t="s">
        <v>362</v>
      </c>
      <c r="K38" s="47" t="s">
        <v>218</v>
      </c>
      <c r="L38" s="48" t="s">
        <v>63</v>
      </c>
      <c r="M38" s="47" t="s">
        <v>63</v>
      </c>
      <c r="N38" s="126" t="s">
        <v>63</v>
      </c>
      <c r="P38" s="27" t="s">
        <v>362</v>
      </c>
      <c r="Q38" s="27" t="s">
        <v>218</v>
      </c>
      <c r="R38" s="27">
        <v>5</v>
      </c>
      <c r="S38" s="27" t="s">
        <v>63</v>
      </c>
      <c r="T38" s="27" t="s">
        <v>63</v>
      </c>
    </row>
    <row r="39" spans="2:20" ht="13.5" thickBot="1" x14ac:dyDescent="0.35">
      <c r="B39" s="28" t="s">
        <v>363</v>
      </c>
      <c r="C39" s="34">
        <f>INDEX(Tabel_forfaits_huidig[Afgiftedatum t/m 31-12-2021],MATCH(Tabel_forfaits[[#This Row],[Zaakcode]],Tabel_forfaits_huidig[Zaakcode],0))</f>
        <v>4</v>
      </c>
      <c r="D3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39" s="34" t="str">
        <f>INDEX(Tabel_forfaits_Cebeon[afgerond],MATCH(Tabel_forfaits[[#This Row],[Zaakcode]],Tabel_forfaits_Cebeon[Zaakcode],0))</f>
        <v>n.v.t.</v>
      </c>
      <c r="F39" s="34">
        <f>IFERROR( INDEX(Tabel_kleine_n[voorstel nieuw forfait],MATCH(Tabel_forfaits[[#This Row],[Zaakcode]],Tabel_kleine_n[Kategorie],0)), 0)</f>
        <v>0</v>
      </c>
      <c r="G39"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39" s="86" t="s">
        <v>705</v>
      </c>
      <c r="J39" s="49" t="s">
        <v>363</v>
      </c>
      <c r="K39" s="49" t="s">
        <v>219</v>
      </c>
      <c r="L39" s="50" t="s">
        <v>63</v>
      </c>
      <c r="M39" s="49" t="s">
        <v>63</v>
      </c>
      <c r="N39" s="127" t="s">
        <v>63</v>
      </c>
      <c r="P39" s="28" t="s">
        <v>363</v>
      </c>
      <c r="Q39" s="28" t="s">
        <v>219</v>
      </c>
      <c r="R39" s="28">
        <v>4</v>
      </c>
      <c r="S39" s="28" t="s">
        <v>63</v>
      </c>
      <c r="T39" s="28" t="s">
        <v>63</v>
      </c>
    </row>
    <row r="40" spans="2:20" ht="13.5" thickBot="1" x14ac:dyDescent="0.35">
      <c r="B40" s="28" t="s">
        <v>364</v>
      </c>
      <c r="C40" s="34">
        <f>INDEX(Tabel_forfaits_huidig[Afgiftedatum t/m 31-12-2021],MATCH(Tabel_forfaits[[#This Row],[Zaakcode]],Tabel_forfaits_huidig[Zaakcode],0))</f>
        <v>4</v>
      </c>
      <c r="D4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40" s="34" t="str">
        <f>INDEX(Tabel_forfaits_Cebeon[afgerond],MATCH(Tabel_forfaits[[#This Row],[Zaakcode]],Tabel_forfaits_Cebeon[Zaakcode],0))</f>
        <v>n.v.t.</v>
      </c>
      <c r="F40" s="34">
        <f>IFERROR( INDEX(Tabel_kleine_n[voorstel nieuw forfait],MATCH(Tabel_forfaits[[#This Row],[Zaakcode]],Tabel_kleine_n[Kategorie],0)), 0)</f>
        <v>0</v>
      </c>
      <c r="G40"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0" s="86" t="s">
        <v>705</v>
      </c>
      <c r="J40" s="47" t="s">
        <v>364</v>
      </c>
      <c r="K40" s="47" t="s">
        <v>220</v>
      </c>
      <c r="L40" s="48" t="s">
        <v>63</v>
      </c>
      <c r="M40" s="47" t="s">
        <v>63</v>
      </c>
      <c r="N40" s="126" t="s">
        <v>63</v>
      </c>
      <c r="P40" s="27" t="s">
        <v>364</v>
      </c>
      <c r="Q40" s="27" t="s">
        <v>220</v>
      </c>
      <c r="R40" s="27">
        <v>4</v>
      </c>
      <c r="S40" s="27" t="s">
        <v>63</v>
      </c>
      <c r="T40" s="27" t="s">
        <v>63</v>
      </c>
    </row>
    <row r="41" spans="2:20" ht="13.5" thickBot="1" x14ac:dyDescent="0.35">
      <c r="B41" s="28" t="s">
        <v>365</v>
      </c>
      <c r="C41" s="34">
        <f>INDEX(Tabel_forfaits_huidig[Afgiftedatum t/m 31-12-2021],MATCH(Tabel_forfaits[[#This Row],[Zaakcode]],Tabel_forfaits_huidig[Zaakcode],0))</f>
        <v>8</v>
      </c>
      <c r="D4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41" s="34" t="str">
        <f>INDEX(Tabel_forfaits_Cebeon[afgerond],MATCH(Tabel_forfaits[[#This Row],[Zaakcode]],Tabel_forfaits_Cebeon[Zaakcode],0))</f>
        <v>n.v.t.</v>
      </c>
      <c r="F41" s="34">
        <f>IFERROR( INDEX(Tabel_kleine_n[voorstel nieuw forfait],MATCH(Tabel_forfaits[[#This Row],[Zaakcode]],Tabel_kleine_n[Kategorie],0)), 0)</f>
        <v>0</v>
      </c>
      <c r="G41"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1" s="86" t="s">
        <v>705</v>
      </c>
      <c r="J41" s="49" t="s">
        <v>365</v>
      </c>
      <c r="K41" s="49" t="s">
        <v>221</v>
      </c>
      <c r="L41" s="50" t="s">
        <v>63</v>
      </c>
      <c r="M41" s="49" t="s">
        <v>63</v>
      </c>
      <c r="N41" s="127" t="s">
        <v>63</v>
      </c>
      <c r="P41" s="28" t="s">
        <v>365</v>
      </c>
      <c r="Q41" s="28" t="s">
        <v>221</v>
      </c>
      <c r="R41" s="28">
        <v>8</v>
      </c>
      <c r="S41" s="28" t="s">
        <v>63</v>
      </c>
      <c r="T41" s="28" t="s">
        <v>63</v>
      </c>
    </row>
    <row r="42" spans="2:20" ht="13.5" thickBot="1" x14ac:dyDescent="0.35">
      <c r="B42" s="28" t="s">
        <v>366</v>
      </c>
      <c r="C42" s="34">
        <f>INDEX(Tabel_forfaits_huidig[Afgiftedatum t/m 31-12-2021],MATCH(Tabel_forfaits[[#This Row],[Zaakcode]],Tabel_forfaits_huidig[Zaakcode],0))</f>
        <v>12</v>
      </c>
      <c r="D4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12</v>
      </c>
      <c r="E42" s="34" t="str">
        <f>INDEX(Tabel_forfaits_Cebeon[afgerond],MATCH(Tabel_forfaits[[#This Row],[Zaakcode]],Tabel_forfaits_Cebeon[Zaakcode],0))</f>
        <v>n.v.t.</v>
      </c>
      <c r="F42" s="34">
        <f>IFERROR( INDEX(Tabel_kleine_n[voorstel nieuw forfait],MATCH(Tabel_forfaits[[#This Row],[Zaakcode]],Tabel_kleine_n[Kategorie],0)), 0)</f>
        <v>0</v>
      </c>
      <c r="G42"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2" s="86" t="s">
        <v>705</v>
      </c>
      <c r="J42" s="47" t="s">
        <v>366</v>
      </c>
      <c r="K42" s="47" t="s">
        <v>222</v>
      </c>
      <c r="L42" s="48" t="s">
        <v>63</v>
      </c>
      <c r="M42" s="47" t="s">
        <v>63</v>
      </c>
      <c r="N42" s="126" t="s">
        <v>63</v>
      </c>
      <c r="P42" s="27" t="s">
        <v>366</v>
      </c>
      <c r="Q42" s="27" t="s">
        <v>222</v>
      </c>
      <c r="R42" s="27">
        <v>12</v>
      </c>
      <c r="S42" s="27" t="s">
        <v>63</v>
      </c>
      <c r="T42" s="27" t="s">
        <v>63</v>
      </c>
    </row>
    <row r="43" spans="2:20" ht="13.5" thickBot="1" x14ac:dyDescent="0.35">
      <c r="B43" s="28" t="s">
        <v>367</v>
      </c>
      <c r="C43" s="34">
        <f>INDEX(Tabel_forfaits_huidig[Afgiftedatum t/m 31-12-2021],MATCH(Tabel_forfaits[[#This Row],[Zaakcode]],Tabel_forfaits_huidig[Zaakcode],0))</f>
        <v>9</v>
      </c>
      <c r="D4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43" s="34" t="str">
        <f>INDEX(Tabel_forfaits_Cebeon[afgerond],MATCH(Tabel_forfaits[[#This Row],[Zaakcode]],Tabel_forfaits_Cebeon[Zaakcode],0))</f>
        <v>n.v.t.</v>
      </c>
      <c r="F43" s="34">
        <f>IFERROR( INDEX(Tabel_kleine_n[voorstel nieuw forfait],MATCH(Tabel_forfaits[[#This Row],[Zaakcode]],Tabel_kleine_n[Kategorie],0)), 0)</f>
        <v>0</v>
      </c>
      <c r="G43"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3" s="86" t="s">
        <v>705</v>
      </c>
      <c r="J43" s="49" t="s">
        <v>367</v>
      </c>
      <c r="K43" s="49" t="s">
        <v>223</v>
      </c>
      <c r="L43" s="50" t="s">
        <v>63</v>
      </c>
      <c r="M43" s="49" t="s">
        <v>63</v>
      </c>
      <c r="N43" s="127" t="s">
        <v>63</v>
      </c>
      <c r="P43" s="28" t="s">
        <v>367</v>
      </c>
      <c r="Q43" s="28" t="s">
        <v>223</v>
      </c>
      <c r="R43" s="28">
        <v>9</v>
      </c>
      <c r="S43" s="28" t="s">
        <v>63</v>
      </c>
      <c r="T43" s="28" t="s">
        <v>63</v>
      </c>
    </row>
    <row r="44" spans="2:20" ht="13.5" thickBot="1" x14ac:dyDescent="0.35">
      <c r="B44" s="28" t="s">
        <v>368</v>
      </c>
      <c r="C44" s="34">
        <f>INDEX(Tabel_forfaits_huidig[Afgiftedatum t/m 31-12-2021],MATCH(Tabel_forfaits[[#This Row],[Zaakcode]],Tabel_forfaits_huidig[Zaakcode],0))</f>
        <v>13</v>
      </c>
      <c r="D4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13</v>
      </c>
      <c r="E44" s="34" t="str">
        <f>INDEX(Tabel_forfaits_Cebeon[afgerond],MATCH(Tabel_forfaits[[#This Row],[Zaakcode]],Tabel_forfaits_Cebeon[Zaakcode],0))</f>
        <v>n.v.t.</v>
      </c>
      <c r="F44" s="34">
        <f>IFERROR( INDEX(Tabel_kleine_n[voorstel nieuw forfait],MATCH(Tabel_forfaits[[#This Row],[Zaakcode]],Tabel_kleine_n[Kategorie],0)), 0)</f>
        <v>0</v>
      </c>
      <c r="G44"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4" s="86" t="s">
        <v>705</v>
      </c>
      <c r="J44" s="47" t="s">
        <v>368</v>
      </c>
      <c r="K44" s="47" t="s">
        <v>224</v>
      </c>
      <c r="L44" s="48" t="s">
        <v>63</v>
      </c>
      <c r="M44" s="47" t="s">
        <v>63</v>
      </c>
      <c r="N44" s="126" t="s">
        <v>63</v>
      </c>
      <c r="P44" s="27" t="s">
        <v>368</v>
      </c>
      <c r="Q44" s="27" t="s">
        <v>224</v>
      </c>
      <c r="R44" s="27">
        <v>13</v>
      </c>
      <c r="S44" s="27" t="s">
        <v>63</v>
      </c>
      <c r="T44" s="27" t="s">
        <v>63</v>
      </c>
    </row>
    <row r="45" spans="2:20" ht="13.5" thickBot="1" x14ac:dyDescent="0.35">
      <c r="B45" s="28" t="s">
        <v>369</v>
      </c>
      <c r="C45" s="34">
        <f>INDEX(Tabel_forfaits_huidig[Afgiftedatum t/m 31-12-2021],MATCH(Tabel_forfaits[[#This Row],[Zaakcode]],Tabel_forfaits_huidig[Zaakcode],0))</f>
        <v>17</v>
      </c>
      <c r="D4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17</v>
      </c>
      <c r="E45" s="34" t="str">
        <f>INDEX(Tabel_forfaits_Cebeon[afgerond],MATCH(Tabel_forfaits[[#This Row],[Zaakcode]],Tabel_forfaits_Cebeon[Zaakcode],0))</f>
        <v>n.v.t.</v>
      </c>
      <c r="F45" s="34">
        <f>IFERROR( INDEX(Tabel_kleine_n[voorstel nieuw forfait],MATCH(Tabel_forfaits[[#This Row],[Zaakcode]],Tabel_kleine_n[Kategorie],0)), 0)</f>
        <v>0</v>
      </c>
      <c r="G45"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5" s="86" t="s">
        <v>705</v>
      </c>
      <c r="J45" s="49" t="s">
        <v>369</v>
      </c>
      <c r="K45" s="49" t="s">
        <v>225</v>
      </c>
      <c r="L45" s="50" t="s">
        <v>63</v>
      </c>
      <c r="M45" s="49" t="s">
        <v>63</v>
      </c>
      <c r="N45" s="127" t="s">
        <v>63</v>
      </c>
      <c r="P45" s="28" t="s">
        <v>369</v>
      </c>
      <c r="Q45" s="28" t="s">
        <v>225</v>
      </c>
      <c r="R45" s="28">
        <v>17</v>
      </c>
      <c r="S45" s="28" t="s">
        <v>63</v>
      </c>
      <c r="T45" s="28" t="s">
        <v>63</v>
      </c>
    </row>
    <row r="46" spans="2:20" ht="13.5" thickBot="1" x14ac:dyDescent="0.35">
      <c r="B46" s="28" t="s">
        <v>370</v>
      </c>
      <c r="C46" s="34">
        <f>INDEX(Tabel_forfaits_huidig[Afgiftedatum t/m 31-12-2021],MATCH(Tabel_forfaits[[#This Row],[Zaakcode]],Tabel_forfaits_huidig[Zaakcode],0))</f>
        <v>4</v>
      </c>
      <c r="D4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46" s="34" t="str">
        <f>INDEX(Tabel_forfaits_Cebeon[afgerond],MATCH(Tabel_forfaits[[#This Row],[Zaakcode]],Tabel_forfaits_Cebeon[Zaakcode],0))</f>
        <v>n.v.t.</v>
      </c>
      <c r="F46" s="34">
        <f>IFERROR( INDEX(Tabel_kleine_n[voorstel nieuw forfait],MATCH(Tabel_forfaits[[#This Row],[Zaakcode]],Tabel_kleine_n[Kategorie],0)), 0)</f>
        <v>0</v>
      </c>
      <c r="G46"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6" s="86" t="s">
        <v>705</v>
      </c>
      <c r="J46" s="47" t="s">
        <v>370</v>
      </c>
      <c r="K46" s="47" t="s">
        <v>226</v>
      </c>
      <c r="L46" s="48" t="s">
        <v>63</v>
      </c>
      <c r="M46" s="47" t="s">
        <v>63</v>
      </c>
      <c r="N46" s="126" t="s">
        <v>63</v>
      </c>
      <c r="P46" s="27" t="s">
        <v>370</v>
      </c>
      <c r="Q46" s="27" t="s">
        <v>226</v>
      </c>
      <c r="R46" s="27">
        <v>4</v>
      </c>
      <c r="S46" s="27" t="s">
        <v>63</v>
      </c>
      <c r="T46" s="27" t="s">
        <v>63</v>
      </c>
    </row>
    <row r="47" spans="2:20" ht="13.5" thickBot="1" x14ac:dyDescent="0.35">
      <c r="B47" s="28" t="s">
        <v>371</v>
      </c>
      <c r="C47" s="34">
        <f>INDEX(Tabel_forfaits_huidig[Afgiftedatum t/m 31-12-2021],MATCH(Tabel_forfaits[[#This Row],[Zaakcode]],Tabel_forfaits_huidig[Zaakcode],0))</f>
        <v>7</v>
      </c>
      <c r="D4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47" s="34" t="str">
        <f>INDEX(Tabel_forfaits_Cebeon[afgerond],MATCH(Tabel_forfaits[[#This Row],[Zaakcode]],Tabel_forfaits_Cebeon[Zaakcode],0))</f>
        <v>n.v.t.</v>
      </c>
      <c r="F47" s="34">
        <f>IFERROR( INDEX(Tabel_kleine_n[voorstel nieuw forfait],MATCH(Tabel_forfaits[[#This Row],[Zaakcode]],Tabel_kleine_n[Kategorie],0)), 0)</f>
        <v>0</v>
      </c>
      <c r="G47"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7" s="86" t="s">
        <v>705</v>
      </c>
      <c r="J47" s="49" t="s">
        <v>371</v>
      </c>
      <c r="K47" s="49" t="s">
        <v>227</v>
      </c>
      <c r="L47" s="50" t="s">
        <v>63</v>
      </c>
      <c r="M47" s="49" t="s">
        <v>63</v>
      </c>
      <c r="N47" s="127" t="s">
        <v>63</v>
      </c>
      <c r="P47" s="28" t="s">
        <v>371</v>
      </c>
      <c r="Q47" s="28" t="s">
        <v>227</v>
      </c>
      <c r="R47" s="28">
        <v>7</v>
      </c>
      <c r="S47" s="28" t="s">
        <v>63</v>
      </c>
      <c r="T47" s="28" t="s">
        <v>63</v>
      </c>
    </row>
    <row r="48" spans="2:20" ht="13.5" thickBot="1" x14ac:dyDescent="0.35">
      <c r="B48" s="28" t="s">
        <v>372</v>
      </c>
      <c r="C48" s="34">
        <f>INDEX(Tabel_forfaits_huidig[Afgiftedatum t/m 31-12-2021],MATCH(Tabel_forfaits[[#This Row],[Zaakcode]],Tabel_forfaits_huidig[Zaakcode],0))</f>
        <v>2</v>
      </c>
      <c r="D4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v>
      </c>
      <c r="E48" s="34" t="str">
        <f>INDEX(Tabel_forfaits_Cebeon[afgerond],MATCH(Tabel_forfaits[[#This Row],[Zaakcode]],Tabel_forfaits_Cebeon[Zaakcode],0))</f>
        <v>n.v.t.</v>
      </c>
      <c r="F48" s="34">
        <f>IFERROR( INDEX(Tabel_kleine_n[voorstel nieuw forfait],MATCH(Tabel_forfaits[[#This Row],[Zaakcode]],Tabel_kleine_n[Kategorie],0)), 0)</f>
        <v>0</v>
      </c>
      <c r="G48"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48" s="86" t="s">
        <v>705</v>
      </c>
      <c r="J48" s="47" t="s">
        <v>372</v>
      </c>
      <c r="K48" s="47" t="s">
        <v>228</v>
      </c>
      <c r="L48" s="48" t="s">
        <v>63</v>
      </c>
      <c r="M48" s="47" t="s">
        <v>63</v>
      </c>
      <c r="N48" s="126" t="s">
        <v>63</v>
      </c>
      <c r="P48" s="27" t="s">
        <v>372</v>
      </c>
      <c r="Q48" s="27" t="s">
        <v>228</v>
      </c>
      <c r="R48" s="27">
        <v>2</v>
      </c>
      <c r="S48" s="27" t="s">
        <v>63</v>
      </c>
      <c r="T48" s="27" t="s">
        <v>63</v>
      </c>
    </row>
    <row r="49" spans="2:20" ht="13.5" thickBot="1" x14ac:dyDescent="0.35">
      <c r="B49" s="1" t="s">
        <v>373</v>
      </c>
      <c r="C49" s="34">
        <f>INDEX(Tabel_forfaits_huidig[Afgiftedatum t/m 31-12-2021],MATCH(Tabel_forfaits[[#This Row],[Zaakcode]],Tabel_forfaits_huidig[Zaakcode],0))</f>
        <v>4</v>
      </c>
      <c r="D4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49" s="34">
        <f>INDEX(Tabel_forfaits_Cebeon[afgerond],MATCH(Tabel_forfaits[[#This Row],[Zaakcode]],Tabel_forfaits_Cebeon[Zaakcode],0))</f>
        <v>0</v>
      </c>
      <c r="F49" s="34">
        <f>IFERROR( INDEX(Tabel_kleine_n[voorstel nieuw forfait],MATCH(Tabel_forfaits[[#This Row],[Zaakcode]],Tabel_kleine_n[Kategorie],0)), 0)</f>
        <v>0</v>
      </c>
      <c r="G4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49" s="86" t="s">
        <v>415</v>
      </c>
      <c r="J49" s="54" t="s">
        <v>373</v>
      </c>
      <c r="K49" s="55" t="s">
        <v>229</v>
      </c>
      <c r="L49" s="56">
        <v>4</v>
      </c>
      <c r="M49" s="55"/>
      <c r="N49" s="127"/>
      <c r="P49" s="1" t="s">
        <v>373</v>
      </c>
      <c r="Q49" s="28" t="s">
        <v>229</v>
      </c>
      <c r="R49" s="28">
        <v>4</v>
      </c>
      <c r="S49" s="28">
        <v>4</v>
      </c>
      <c r="T49" s="28">
        <v>4</v>
      </c>
    </row>
    <row r="50" spans="2:20" ht="13.5" thickBot="1" x14ac:dyDescent="0.35">
      <c r="B50" s="1" t="s">
        <v>102</v>
      </c>
      <c r="C50" s="34">
        <f>INDEX(Tabel_forfaits_huidig[Afgiftedatum t/m 31-12-2021],MATCH(Tabel_forfaits[[#This Row],[Zaakcode]],Tabel_forfaits_huidig[Zaakcode],0))</f>
        <v>4</v>
      </c>
      <c r="D5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50" s="34">
        <f>INDEX(Tabel_forfaits_Cebeon[afgerond],MATCH(Tabel_forfaits[[#This Row],[Zaakcode]],Tabel_forfaits_Cebeon[Zaakcode],0))</f>
        <v>8</v>
      </c>
      <c r="F50" s="34">
        <f>IFERROR( INDEX(Tabel_kleine_n[voorstel nieuw forfait],MATCH(Tabel_forfaits[[#This Row],[Zaakcode]],Tabel_kleine_n[Kategorie],0)), 0)</f>
        <v>0</v>
      </c>
      <c r="G5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50" s="86"/>
      <c r="J50" s="51" t="s">
        <v>102</v>
      </c>
      <c r="K50" s="52" t="s">
        <v>230</v>
      </c>
      <c r="L50" s="53">
        <v>7</v>
      </c>
      <c r="M50" s="52">
        <v>7.7</v>
      </c>
      <c r="N50" s="126">
        <v>8</v>
      </c>
      <c r="P50" s="1" t="s">
        <v>102</v>
      </c>
      <c r="Q50" s="27" t="s">
        <v>230</v>
      </c>
      <c r="R50" s="27">
        <v>4</v>
      </c>
      <c r="S50" s="27">
        <v>7</v>
      </c>
      <c r="T50" s="27">
        <v>7</v>
      </c>
    </row>
    <row r="51" spans="2:20" ht="13.5" thickBot="1" x14ac:dyDescent="0.35">
      <c r="B51" s="1" t="s">
        <v>103</v>
      </c>
      <c r="C51" s="34">
        <f>INDEX(Tabel_forfaits_huidig[Afgiftedatum t/m 31-12-2021],MATCH(Tabel_forfaits[[#This Row],[Zaakcode]],Tabel_forfaits_huidig[Zaakcode],0))</f>
        <v>8</v>
      </c>
      <c r="D5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51" s="34">
        <f>INDEX(Tabel_forfaits_Cebeon[afgerond],MATCH(Tabel_forfaits[[#This Row],[Zaakcode]],Tabel_forfaits_Cebeon[Zaakcode],0))</f>
        <v>9</v>
      </c>
      <c r="F51" s="34">
        <f>IFERROR( INDEX(Tabel_kleine_n[voorstel nieuw forfait],MATCH(Tabel_forfaits[[#This Row],[Zaakcode]],Tabel_kleine_n[Kategorie],0)), 0)</f>
        <v>0</v>
      </c>
      <c r="G5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51" s="86"/>
      <c r="J51" s="54" t="s">
        <v>103</v>
      </c>
      <c r="K51" s="55" t="s">
        <v>231</v>
      </c>
      <c r="L51" s="56">
        <v>8</v>
      </c>
      <c r="M51" s="67">
        <v>9</v>
      </c>
      <c r="N51" s="127">
        <v>9</v>
      </c>
      <c r="P51" s="1" t="s">
        <v>103</v>
      </c>
      <c r="Q51" s="28" t="s">
        <v>231</v>
      </c>
      <c r="R51" s="28">
        <v>8</v>
      </c>
      <c r="S51" s="28">
        <v>8</v>
      </c>
      <c r="T51" s="28">
        <v>8</v>
      </c>
    </row>
    <row r="52" spans="2:20" ht="13.5" thickBot="1" x14ac:dyDescent="0.35">
      <c r="B52" s="1" t="s">
        <v>104</v>
      </c>
      <c r="C52" s="34">
        <f>INDEX(Tabel_forfaits_huidig[Afgiftedatum t/m 31-12-2021],MATCH(Tabel_forfaits[[#This Row],[Zaakcode]],Tabel_forfaits_huidig[Zaakcode],0))</f>
        <v>12</v>
      </c>
      <c r="D5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12</v>
      </c>
      <c r="E52" s="34">
        <f>INDEX(Tabel_forfaits_Cebeon[afgerond],MATCH(Tabel_forfaits[[#This Row],[Zaakcode]],Tabel_forfaits_Cebeon[Zaakcode],0))</f>
        <v>11</v>
      </c>
      <c r="F52" s="34">
        <f>IFERROR( INDEX(Tabel_kleine_n[voorstel nieuw forfait],MATCH(Tabel_forfaits[[#This Row],[Zaakcode]],Tabel_kleine_n[Kategorie],0)), 0)</f>
        <v>0</v>
      </c>
      <c r="G5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52" s="86"/>
      <c r="J52" s="51" t="s">
        <v>104</v>
      </c>
      <c r="K52" s="52" t="s">
        <v>232</v>
      </c>
      <c r="L52" s="53">
        <v>10</v>
      </c>
      <c r="M52" s="52">
        <v>11.4</v>
      </c>
      <c r="N52" s="126">
        <v>11</v>
      </c>
      <c r="P52" s="1" t="s">
        <v>104</v>
      </c>
      <c r="Q52" s="27" t="s">
        <v>232</v>
      </c>
      <c r="R52" s="27">
        <v>12</v>
      </c>
      <c r="S52" s="27">
        <v>12</v>
      </c>
      <c r="T52" s="27">
        <v>10</v>
      </c>
    </row>
    <row r="53" spans="2:20" ht="13.5" thickBot="1" x14ac:dyDescent="0.35">
      <c r="B53" s="1" t="s">
        <v>105</v>
      </c>
      <c r="C53" s="34">
        <f>INDEX(Tabel_forfaits_huidig[Afgiftedatum t/m 31-12-2021],MATCH(Tabel_forfaits[[#This Row],[Zaakcode]],Tabel_forfaits_huidig[Zaakcode],0))</f>
        <v>4</v>
      </c>
      <c r="D5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53" s="34">
        <f>INDEX(Tabel_forfaits_Cebeon[afgerond],MATCH(Tabel_forfaits[[#This Row],[Zaakcode]],Tabel_forfaits_Cebeon[Zaakcode],0))</f>
        <v>6</v>
      </c>
      <c r="F53" s="34">
        <f>IFERROR( INDEX(Tabel_kleine_n[voorstel nieuw forfait],MATCH(Tabel_forfaits[[#This Row],[Zaakcode]],Tabel_kleine_n[Kategorie],0)), 0)</f>
        <v>0</v>
      </c>
      <c r="G5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53" s="86"/>
      <c r="J53" s="54" t="s">
        <v>105</v>
      </c>
      <c r="K53" s="55" t="s">
        <v>233</v>
      </c>
      <c r="L53" s="56">
        <v>6</v>
      </c>
      <c r="M53" s="55">
        <v>6.2</v>
      </c>
      <c r="N53" s="127">
        <v>6</v>
      </c>
      <c r="P53" s="1" t="s">
        <v>105</v>
      </c>
      <c r="Q53" s="28" t="s">
        <v>233</v>
      </c>
      <c r="R53" s="28">
        <v>4</v>
      </c>
      <c r="S53" s="28">
        <v>6</v>
      </c>
      <c r="T53" s="28">
        <v>6</v>
      </c>
    </row>
    <row r="54" spans="2:20" ht="13.5" thickBot="1" x14ac:dyDescent="0.35">
      <c r="B54" s="1" t="s">
        <v>374</v>
      </c>
      <c r="C54" s="34">
        <f>INDEX(Tabel_forfaits_huidig[Afgiftedatum t/m 31-12-2021],MATCH(Tabel_forfaits[[#This Row],[Zaakcode]],Tabel_forfaits_huidig[Zaakcode],0))</f>
        <v>7</v>
      </c>
      <c r="D5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54" s="34" t="str">
        <f>INDEX(Tabel_forfaits_Cebeon[afgerond],MATCH(Tabel_forfaits[[#This Row],[Zaakcode]],Tabel_forfaits_Cebeon[Zaakcode],0))</f>
        <v>n.v.t.</v>
      </c>
      <c r="F54" s="34">
        <f>IFERROR( INDEX(Tabel_kleine_n[voorstel nieuw forfait],MATCH(Tabel_forfaits[[#This Row],[Zaakcode]],Tabel_kleine_n[Kategorie],0)), 0)</f>
        <v>0</v>
      </c>
      <c r="G54"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54" s="86" t="s">
        <v>705</v>
      </c>
      <c r="J54" s="68" t="s">
        <v>374</v>
      </c>
      <c r="K54" s="47" t="s">
        <v>227</v>
      </c>
      <c r="L54" s="48" t="s">
        <v>63</v>
      </c>
      <c r="M54" s="47" t="s">
        <v>63</v>
      </c>
      <c r="N54" s="126" t="s">
        <v>63</v>
      </c>
      <c r="P54" s="1" t="s">
        <v>374</v>
      </c>
      <c r="Q54" s="27" t="s">
        <v>227</v>
      </c>
      <c r="R54" s="27">
        <v>7</v>
      </c>
      <c r="S54" s="27" t="s">
        <v>63</v>
      </c>
      <c r="T54" s="27" t="s">
        <v>63</v>
      </c>
    </row>
    <row r="55" spans="2:20" ht="13.5" thickBot="1" x14ac:dyDescent="0.35">
      <c r="B55" s="1" t="s">
        <v>106</v>
      </c>
      <c r="C55" s="34">
        <f>INDEX(Tabel_forfaits_huidig[Afgiftedatum t/m 31-12-2021],MATCH(Tabel_forfaits[[#This Row],[Zaakcode]],Tabel_forfaits_huidig[Zaakcode],0))</f>
        <v>2</v>
      </c>
      <c r="D5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v>
      </c>
      <c r="E55" s="34">
        <f>INDEX(Tabel_forfaits_Cebeon[afgerond],MATCH(Tabel_forfaits[[#This Row],[Zaakcode]],Tabel_forfaits_Cebeon[Zaakcode],0))</f>
        <v>0</v>
      </c>
      <c r="F55" s="34">
        <f>IFERROR( INDEX(Tabel_kleine_n[voorstel nieuw forfait],MATCH(Tabel_forfaits[[#This Row],[Zaakcode]],Tabel_kleine_n[Kategorie],0)), 0)</f>
        <v>0</v>
      </c>
      <c r="G5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v>
      </c>
      <c r="H55" s="86"/>
      <c r="J55" s="61" t="s">
        <v>106</v>
      </c>
      <c r="K55" s="62" t="s">
        <v>228</v>
      </c>
      <c r="L55" s="63">
        <v>2</v>
      </c>
      <c r="M55" s="62"/>
      <c r="N55" s="127"/>
      <c r="P55" s="1" t="s">
        <v>106</v>
      </c>
      <c r="Q55" s="28" t="s">
        <v>228</v>
      </c>
      <c r="R55" s="28">
        <v>2</v>
      </c>
      <c r="S55" s="28">
        <v>2</v>
      </c>
      <c r="T55" s="28">
        <v>2</v>
      </c>
    </row>
    <row r="56" spans="2:20" ht="13.5" thickBot="1" x14ac:dyDescent="0.35">
      <c r="B56" s="1" t="s">
        <v>107</v>
      </c>
      <c r="C56" s="34">
        <f>INDEX(Tabel_forfaits_huidig[Afgiftedatum t/m 31-12-2021],MATCH(Tabel_forfaits[[#This Row],[Zaakcode]],Tabel_forfaits_huidig[Zaakcode],0))</f>
        <v>7</v>
      </c>
      <c r="D5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56" s="34">
        <f>INDEX(Tabel_forfaits_Cebeon[afgerond],MATCH(Tabel_forfaits[[#This Row],[Zaakcode]],Tabel_forfaits_Cebeon[Zaakcode],0))</f>
        <v>11</v>
      </c>
      <c r="F56" s="34">
        <f>IFERROR( INDEX(Tabel_kleine_n[voorstel nieuw forfait],MATCH(Tabel_forfaits[[#This Row],[Zaakcode]],Tabel_kleine_n[Kategorie],0)), 0)</f>
        <v>11</v>
      </c>
      <c r="G5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56" s="86" t="str">
        <f>$H$20</f>
        <v>kleine n</v>
      </c>
      <c r="J56" s="69" t="s">
        <v>107</v>
      </c>
      <c r="K56" s="52" t="s">
        <v>234</v>
      </c>
      <c r="L56" s="53">
        <v>11</v>
      </c>
      <c r="M56" s="52">
        <v>11</v>
      </c>
      <c r="N56" s="126">
        <v>11</v>
      </c>
      <c r="P56" s="1" t="s">
        <v>107</v>
      </c>
      <c r="Q56" s="27" t="s">
        <v>234</v>
      </c>
      <c r="R56" s="27">
        <v>7</v>
      </c>
      <c r="S56" s="27">
        <v>11</v>
      </c>
      <c r="T56" s="27">
        <v>11</v>
      </c>
    </row>
    <row r="57" spans="2:20" ht="13.5" thickBot="1" x14ac:dyDescent="0.35">
      <c r="B57" s="1" t="s">
        <v>108</v>
      </c>
      <c r="C57" s="34">
        <f>INDEX(Tabel_forfaits_huidig[Afgiftedatum t/m 31-12-2021],MATCH(Tabel_forfaits[[#This Row],[Zaakcode]],Tabel_forfaits_huidig[Zaakcode],0))</f>
        <v>8</v>
      </c>
      <c r="D5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57" s="34">
        <f>INDEX(Tabel_forfaits_Cebeon[afgerond],MATCH(Tabel_forfaits[[#This Row],[Zaakcode]],Tabel_forfaits_Cebeon[Zaakcode],0))</f>
        <v>0</v>
      </c>
      <c r="F57" s="34">
        <f>IFERROR( INDEX(Tabel_kleine_n[voorstel nieuw forfait],MATCH(Tabel_forfaits[[#This Row],[Zaakcode]],Tabel_kleine_n[Kategorie],0)), 0)</f>
        <v>10</v>
      </c>
      <c r="G5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57" s="86" t="str">
        <f>$H$20</f>
        <v>kleine n</v>
      </c>
      <c r="J57" s="70" t="s">
        <v>108</v>
      </c>
      <c r="K57" s="62" t="s">
        <v>235</v>
      </c>
      <c r="L57" s="63">
        <v>10</v>
      </c>
      <c r="M57" s="62"/>
      <c r="N57" s="127"/>
      <c r="P57" s="1" t="s">
        <v>108</v>
      </c>
      <c r="Q57" s="28" t="s">
        <v>235</v>
      </c>
      <c r="R57" s="28">
        <v>8</v>
      </c>
      <c r="S57" s="28">
        <v>10</v>
      </c>
      <c r="T57" s="28">
        <v>10</v>
      </c>
    </row>
    <row r="58" spans="2:20" ht="13.5" thickBot="1" x14ac:dyDescent="0.35">
      <c r="B58" s="1" t="s">
        <v>109</v>
      </c>
      <c r="C58" s="34">
        <f>INDEX(Tabel_forfaits_huidig[Afgiftedatum t/m 31-12-2021],MATCH(Tabel_forfaits[[#This Row],[Zaakcode]],Tabel_forfaits_huidig[Zaakcode],0))</f>
        <v>5</v>
      </c>
      <c r="D5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58" s="34">
        <f>INDEX(Tabel_forfaits_Cebeon[afgerond],MATCH(Tabel_forfaits[[#This Row],[Zaakcode]],Tabel_forfaits_Cebeon[Zaakcode],0))</f>
        <v>0</v>
      </c>
      <c r="F58" s="34">
        <f>IFERROR( INDEX(Tabel_kleine_n[voorstel nieuw forfait],MATCH(Tabel_forfaits[[#This Row],[Zaakcode]],Tabel_kleine_n[Kategorie],0)), 0)</f>
        <v>6</v>
      </c>
      <c r="G5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58" s="86" t="str">
        <f>$H$20</f>
        <v>kleine n</v>
      </c>
      <c r="J58" s="71" t="s">
        <v>109</v>
      </c>
      <c r="K58" s="59" t="s">
        <v>236</v>
      </c>
      <c r="L58" s="60">
        <v>6</v>
      </c>
      <c r="M58" s="59"/>
      <c r="N58" s="126"/>
      <c r="P58" s="1" t="s">
        <v>109</v>
      </c>
      <c r="Q58" s="27" t="s">
        <v>236</v>
      </c>
      <c r="R58" s="27">
        <v>5</v>
      </c>
      <c r="S58" s="27">
        <v>6</v>
      </c>
      <c r="T58" s="27">
        <v>6</v>
      </c>
    </row>
    <row r="59" spans="2:20" ht="13.5" thickBot="1" x14ac:dyDescent="0.35">
      <c r="B59" s="1" t="s">
        <v>110</v>
      </c>
      <c r="C59" s="34">
        <f>INDEX(Tabel_forfaits_huidig[Afgiftedatum t/m 31-12-2021],MATCH(Tabel_forfaits[[#This Row],[Zaakcode]],Tabel_forfaits_huidig[Zaakcode],0))</f>
        <v>7</v>
      </c>
      <c r="D5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59" s="34">
        <f>INDEX(Tabel_forfaits_Cebeon[afgerond],MATCH(Tabel_forfaits[[#This Row],[Zaakcode]],Tabel_forfaits_Cebeon[Zaakcode],0))</f>
        <v>12</v>
      </c>
      <c r="F59" s="34">
        <f>IFERROR( INDEX(Tabel_kleine_n[voorstel nieuw forfait],MATCH(Tabel_forfaits[[#This Row],[Zaakcode]],Tabel_kleine_n[Kategorie],0)), 0)</f>
        <v>0</v>
      </c>
      <c r="G5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12</v>
      </c>
      <c r="H59" s="86"/>
      <c r="J59" s="54" t="s">
        <v>110</v>
      </c>
      <c r="K59" s="55" t="s">
        <v>237</v>
      </c>
      <c r="L59" s="56">
        <v>11</v>
      </c>
      <c r="M59" s="55">
        <v>11.9</v>
      </c>
      <c r="N59" s="127">
        <v>12</v>
      </c>
      <c r="P59" s="1" t="s">
        <v>110</v>
      </c>
      <c r="Q59" s="28" t="s">
        <v>237</v>
      </c>
      <c r="R59" s="28">
        <v>7</v>
      </c>
      <c r="S59" s="28">
        <v>11</v>
      </c>
      <c r="T59" s="28">
        <v>11</v>
      </c>
    </row>
    <row r="60" spans="2:20" ht="13.5" thickBot="1" x14ac:dyDescent="0.35">
      <c r="B60" s="1" t="s">
        <v>111</v>
      </c>
      <c r="C60" s="34">
        <f>INDEX(Tabel_forfaits_huidig[Afgiftedatum t/m 31-12-2021],MATCH(Tabel_forfaits[[#This Row],[Zaakcode]],Tabel_forfaits_huidig[Zaakcode],0))</f>
        <v>2</v>
      </c>
      <c r="D6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60" s="34">
        <f>INDEX(Tabel_forfaits_Cebeon[afgerond],MATCH(Tabel_forfaits[[#This Row],[Zaakcode]],Tabel_forfaits_Cebeon[Zaakcode],0))</f>
        <v>9</v>
      </c>
      <c r="F60" s="34">
        <f>IFERROR( INDEX(Tabel_kleine_n[voorstel nieuw forfait],MATCH(Tabel_forfaits[[#This Row],[Zaakcode]],Tabel_kleine_n[Kategorie],0)), 0)</f>
        <v>0</v>
      </c>
      <c r="G6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60" s="86"/>
      <c r="J60" s="51" t="s">
        <v>111</v>
      </c>
      <c r="K60" s="52" t="s">
        <v>238</v>
      </c>
      <c r="L60" s="53">
        <v>5</v>
      </c>
      <c r="M60" s="52">
        <v>8.5</v>
      </c>
      <c r="N60" s="126">
        <v>9</v>
      </c>
      <c r="P60" s="1" t="s">
        <v>111</v>
      </c>
      <c r="Q60" s="27" t="s">
        <v>238</v>
      </c>
      <c r="R60" s="27">
        <v>2</v>
      </c>
      <c r="S60" s="27">
        <v>5</v>
      </c>
      <c r="T60" s="27">
        <v>5</v>
      </c>
    </row>
    <row r="61" spans="2:20" ht="13.5" thickBot="1" x14ac:dyDescent="0.35">
      <c r="B61" s="1" t="s">
        <v>112</v>
      </c>
      <c r="C61" s="34">
        <f>INDEX(Tabel_forfaits_huidig[Afgiftedatum t/m 31-12-2021],MATCH(Tabel_forfaits[[#This Row],[Zaakcode]],Tabel_forfaits_huidig[Zaakcode],0))</f>
        <v>8</v>
      </c>
      <c r="D6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61" s="34">
        <f>INDEX(Tabel_forfaits_Cebeon[afgerond],MATCH(Tabel_forfaits[[#This Row],[Zaakcode]],Tabel_forfaits_Cebeon[Zaakcode],0))</f>
        <v>0</v>
      </c>
      <c r="F61" s="34">
        <f>IFERROR( INDEX(Tabel_kleine_n[voorstel nieuw forfait],MATCH(Tabel_forfaits[[#This Row],[Zaakcode]],Tabel_kleine_n[Kategorie],0)), 0)</f>
        <v>10</v>
      </c>
      <c r="G6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61" s="86" t="str">
        <f t="shared" ref="H61:H71" si="0">$H$20</f>
        <v>kleine n</v>
      </c>
      <c r="J61" s="61" t="s">
        <v>112</v>
      </c>
      <c r="K61" s="62" t="s">
        <v>239</v>
      </c>
      <c r="L61" s="63">
        <v>10</v>
      </c>
      <c r="M61" s="62"/>
      <c r="N61" s="127"/>
      <c r="P61" s="1" t="s">
        <v>112</v>
      </c>
      <c r="Q61" s="28" t="s">
        <v>239</v>
      </c>
      <c r="R61" s="28">
        <v>8</v>
      </c>
      <c r="S61" s="28">
        <v>10</v>
      </c>
      <c r="T61" s="28">
        <v>10</v>
      </c>
    </row>
    <row r="62" spans="2:20" ht="13.5" thickBot="1" x14ac:dyDescent="0.35">
      <c r="B62" s="1" t="s">
        <v>113</v>
      </c>
      <c r="C62" s="34">
        <f>INDEX(Tabel_forfaits_huidig[Afgiftedatum t/m 31-12-2021],MATCH(Tabel_forfaits[[#This Row],[Zaakcode]],Tabel_forfaits_huidig[Zaakcode],0))</f>
        <v>2</v>
      </c>
      <c r="D6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62" s="34">
        <f>INDEX(Tabel_forfaits_Cebeon[afgerond],MATCH(Tabel_forfaits[[#This Row],[Zaakcode]],Tabel_forfaits_Cebeon[Zaakcode],0))</f>
        <v>0</v>
      </c>
      <c r="F62" s="34">
        <f>IFERROR( INDEX(Tabel_kleine_n[voorstel nieuw forfait],MATCH(Tabel_forfaits[[#This Row],[Zaakcode]],Tabel_kleine_n[Kategorie],0)), 0)</f>
        <v>9</v>
      </c>
      <c r="G6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62" s="86" t="str">
        <f t="shared" si="0"/>
        <v>kleine n</v>
      </c>
      <c r="J62" s="58" t="s">
        <v>113</v>
      </c>
      <c r="K62" s="59" t="s">
        <v>240</v>
      </c>
      <c r="L62" s="60">
        <v>5</v>
      </c>
      <c r="M62" s="59"/>
      <c r="N62" s="126"/>
      <c r="P62" s="1" t="s">
        <v>113</v>
      </c>
      <c r="Q62" s="27" t="s">
        <v>240</v>
      </c>
      <c r="R62" s="27">
        <v>2</v>
      </c>
      <c r="S62" s="27">
        <v>5</v>
      </c>
      <c r="T62" s="27">
        <v>5</v>
      </c>
    </row>
    <row r="63" spans="2:20" ht="13.5" thickBot="1" x14ac:dyDescent="0.35">
      <c r="B63" s="1" t="s">
        <v>114</v>
      </c>
      <c r="C63" s="34">
        <f>INDEX(Tabel_forfaits_huidig[Afgiftedatum t/m 31-12-2021],MATCH(Tabel_forfaits[[#This Row],[Zaakcode]],Tabel_forfaits_huidig[Zaakcode],0))</f>
        <v>5</v>
      </c>
      <c r="D6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63" s="34">
        <f>INDEX(Tabel_forfaits_Cebeon[afgerond],MATCH(Tabel_forfaits[[#This Row],[Zaakcode]],Tabel_forfaits_Cebeon[Zaakcode],0))</f>
        <v>0</v>
      </c>
      <c r="F63" s="34">
        <f>IFERROR( INDEX(Tabel_kleine_n[voorstel nieuw forfait],MATCH(Tabel_forfaits[[#This Row],[Zaakcode]],Tabel_kleine_n[Kategorie],0)), 0)</f>
        <v>6</v>
      </c>
      <c r="G6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63" s="86" t="str">
        <f t="shared" si="0"/>
        <v>kleine n</v>
      </c>
      <c r="J63" s="72" t="s">
        <v>114</v>
      </c>
      <c r="K63" s="62" t="s">
        <v>241</v>
      </c>
      <c r="L63" s="63">
        <v>6</v>
      </c>
      <c r="M63" s="62"/>
      <c r="N63" s="127"/>
      <c r="P63" s="1" t="s">
        <v>114</v>
      </c>
      <c r="Q63" s="28" t="s">
        <v>241</v>
      </c>
      <c r="R63" s="28">
        <v>5</v>
      </c>
      <c r="S63" s="28">
        <v>6</v>
      </c>
      <c r="T63" s="28">
        <v>6</v>
      </c>
    </row>
    <row r="64" spans="2:20" ht="13.5" thickBot="1" x14ac:dyDescent="0.35">
      <c r="B64" s="1" t="s">
        <v>115</v>
      </c>
      <c r="C64" s="34">
        <f>INDEX(Tabel_forfaits_huidig[Afgiftedatum t/m 31-12-2021],MATCH(Tabel_forfaits[[#This Row],[Zaakcode]],Tabel_forfaits_huidig[Zaakcode],0))</f>
        <v>2</v>
      </c>
      <c r="D6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64" s="34">
        <f>INDEX(Tabel_forfaits_Cebeon[afgerond],MATCH(Tabel_forfaits[[#This Row],[Zaakcode]],Tabel_forfaits_Cebeon[Zaakcode],0))</f>
        <v>0</v>
      </c>
      <c r="F64" s="34">
        <f>IFERROR( INDEX(Tabel_kleine_n[voorstel nieuw forfait],MATCH(Tabel_forfaits[[#This Row],[Zaakcode]],Tabel_kleine_n[Kategorie],0)), 0)</f>
        <v>7</v>
      </c>
      <c r="G6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64" s="86" t="str">
        <f t="shared" si="0"/>
        <v>kleine n</v>
      </c>
      <c r="J64" s="58" t="s">
        <v>115</v>
      </c>
      <c r="K64" s="59" t="s">
        <v>242</v>
      </c>
      <c r="L64" s="60">
        <v>4</v>
      </c>
      <c r="M64" s="59"/>
      <c r="N64" s="126"/>
      <c r="P64" s="1" t="s">
        <v>115</v>
      </c>
      <c r="Q64" s="27" t="s">
        <v>242</v>
      </c>
      <c r="R64" s="27">
        <v>2</v>
      </c>
      <c r="S64" s="27">
        <v>4</v>
      </c>
      <c r="T64" s="27">
        <v>4</v>
      </c>
    </row>
    <row r="65" spans="2:20" ht="13.5" thickBot="1" x14ac:dyDescent="0.35">
      <c r="B65" s="1" t="s">
        <v>116</v>
      </c>
      <c r="C65" s="34">
        <f>INDEX(Tabel_forfaits_huidig[Afgiftedatum t/m 31-12-2021],MATCH(Tabel_forfaits[[#This Row],[Zaakcode]],Tabel_forfaits_huidig[Zaakcode],0))</f>
        <v>7</v>
      </c>
      <c r="D6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65" s="34">
        <f>INDEX(Tabel_forfaits_Cebeon[afgerond],MATCH(Tabel_forfaits[[#This Row],[Zaakcode]],Tabel_forfaits_Cebeon[Zaakcode],0))</f>
        <v>0</v>
      </c>
      <c r="F65" s="34">
        <f>IFERROR( INDEX(Tabel_kleine_n[voorstel nieuw forfait],MATCH(Tabel_forfaits[[#This Row],[Zaakcode]],Tabel_kleine_n[Kategorie],0)), 0)</f>
        <v>7</v>
      </c>
      <c r="G6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65" s="86" t="str">
        <f t="shared" si="0"/>
        <v>kleine n</v>
      </c>
      <c r="J65" s="61" t="s">
        <v>116</v>
      </c>
      <c r="K65" s="62" t="s">
        <v>243</v>
      </c>
      <c r="L65" s="63">
        <v>7</v>
      </c>
      <c r="M65" s="62"/>
      <c r="N65" s="127"/>
      <c r="P65" s="1" t="s">
        <v>116</v>
      </c>
      <c r="Q65" s="28" t="s">
        <v>243</v>
      </c>
      <c r="R65" s="28">
        <v>7</v>
      </c>
      <c r="S65" s="28">
        <v>7</v>
      </c>
      <c r="T65" s="28">
        <v>7</v>
      </c>
    </row>
    <row r="66" spans="2:20" ht="13.5" thickBot="1" x14ac:dyDescent="0.35">
      <c r="B66" s="1" t="s">
        <v>117</v>
      </c>
      <c r="C66" s="34">
        <f>INDEX(Tabel_forfaits_huidig[Afgiftedatum t/m 31-12-2021],MATCH(Tabel_forfaits[[#This Row],[Zaakcode]],Tabel_forfaits_huidig[Zaakcode],0))</f>
        <v>8</v>
      </c>
      <c r="D6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66" s="34">
        <f>INDEX(Tabel_forfaits_Cebeon[afgerond],MATCH(Tabel_forfaits[[#This Row],[Zaakcode]],Tabel_forfaits_Cebeon[Zaakcode],0))</f>
        <v>0</v>
      </c>
      <c r="F66" s="34">
        <f>IFERROR( INDEX(Tabel_kleine_n[voorstel nieuw forfait],MATCH(Tabel_forfaits[[#This Row],[Zaakcode]],Tabel_kleine_n[Kategorie],0)), 0)</f>
        <v>8</v>
      </c>
      <c r="G6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66" s="86" t="str">
        <f t="shared" si="0"/>
        <v>kleine n</v>
      </c>
      <c r="J66" s="58" t="s">
        <v>117</v>
      </c>
      <c r="K66" s="59" t="s">
        <v>244</v>
      </c>
      <c r="L66" s="60">
        <v>8</v>
      </c>
      <c r="M66" s="59"/>
      <c r="N66" s="126"/>
      <c r="P66" s="1" t="s">
        <v>117</v>
      </c>
      <c r="Q66" s="27" t="s">
        <v>244</v>
      </c>
      <c r="R66" s="27">
        <v>8</v>
      </c>
      <c r="S66" s="27">
        <v>8</v>
      </c>
      <c r="T66" s="27">
        <v>8</v>
      </c>
    </row>
    <row r="67" spans="2:20" ht="13.5" thickBot="1" x14ac:dyDescent="0.35">
      <c r="B67" s="1" t="s">
        <v>118</v>
      </c>
      <c r="C67" s="34">
        <f>INDEX(Tabel_forfaits_huidig[Afgiftedatum t/m 31-12-2021],MATCH(Tabel_forfaits[[#This Row],[Zaakcode]],Tabel_forfaits_huidig[Zaakcode],0))</f>
        <v>5</v>
      </c>
      <c r="D6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67" s="34">
        <f>INDEX(Tabel_forfaits_Cebeon[afgerond],MATCH(Tabel_forfaits[[#This Row],[Zaakcode]],Tabel_forfaits_Cebeon[Zaakcode],0))</f>
        <v>0</v>
      </c>
      <c r="F67" s="34">
        <f>IFERROR( INDEX(Tabel_kleine_n[voorstel nieuw forfait],MATCH(Tabel_forfaits[[#This Row],[Zaakcode]],Tabel_kleine_n[Kategorie],0)), 0)</f>
        <v>5</v>
      </c>
      <c r="G6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67" s="86" t="str">
        <f t="shared" si="0"/>
        <v>kleine n</v>
      </c>
      <c r="J67" s="61" t="s">
        <v>118</v>
      </c>
      <c r="K67" s="62" t="s">
        <v>245</v>
      </c>
      <c r="L67" s="63">
        <v>5</v>
      </c>
      <c r="M67" s="62"/>
      <c r="N67" s="127"/>
      <c r="P67" s="1" t="s">
        <v>118</v>
      </c>
      <c r="Q67" s="28" t="s">
        <v>245</v>
      </c>
      <c r="R67" s="28">
        <v>5</v>
      </c>
      <c r="S67" s="28">
        <v>5</v>
      </c>
      <c r="T67" s="28">
        <v>5</v>
      </c>
    </row>
    <row r="68" spans="2:20" ht="13.5" thickBot="1" x14ac:dyDescent="0.35">
      <c r="B68" s="1" t="s">
        <v>119</v>
      </c>
      <c r="C68" s="34">
        <f>INDEX(Tabel_forfaits_huidig[Afgiftedatum t/m 31-12-2021],MATCH(Tabel_forfaits[[#This Row],[Zaakcode]],Tabel_forfaits_huidig[Zaakcode],0))</f>
        <v>7</v>
      </c>
      <c r="D6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68" s="34">
        <f>INDEX(Tabel_forfaits_Cebeon[afgerond],MATCH(Tabel_forfaits[[#This Row],[Zaakcode]],Tabel_forfaits_Cebeon[Zaakcode],0))</f>
        <v>0</v>
      </c>
      <c r="F68" s="34">
        <f>IFERROR( INDEX(Tabel_kleine_n[voorstel nieuw forfait],MATCH(Tabel_forfaits[[#This Row],[Zaakcode]],Tabel_kleine_n[Kategorie],0)), 0)</f>
        <v>7</v>
      </c>
      <c r="G6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68" s="86" t="str">
        <f t="shared" si="0"/>
        <v>kleine n</v>
      </c>
      <c r="J68" s="58" t="s">
        <v>119</v>
      </c>
      <c r="K68" s="59" t="s">
        <v>246</v>
      </c>
      <c r="L68" s="60">
        <v>7</v>
      </c>
      <c r="M68" s="59"/>
      <c r="N68" s="126"/>
      <c r="P68" s="1" t="s">
        <v>119</v>
      </c>
      <c r="Q68" s="27" t="s">
        <v>246</v>
      </c>
      <c r="R68" s="27">
        <v>7</v>
      </c>
      <c r="S68" s="27">
        <v>7</v>
      </c>
      <c r="T68" s="27">
        <v>7</v>
      </c>
    </row>
    <row r="69" spans="2:20" ht="13.5" thickBot="1" x14ac:dyDescent="0.35">
      <c r="B69" s="1" t="s">
        <v>120</v>
      </c>
      <c r="C69" s="34">
        <f>INDEX(Tabel_forfaits_huidig[Afgiftedatum t/m 31-12-2021],MATCH(Tabel_forfaits[[#This Row],[Zaakcode]],Tabel_forfaits_huidig[Zaakcode],0))</f>
        <v>2</v>
      </c>
      <c r="D6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69" s="34">
        <f>INDEX(Tabel_forfaits_Cebeon[afgerond],MATCH(Tabel_forfaits[[#This Row],[Zaakcode]],Tabel_forfaits_Cebeon[Zaakcode],0))</f>
        <v>0</v>
      </c>
      <c r="F69" s="34">
        <f>IFERROR( INDEX(Tabel_kleine_n[voorstel nieuw forfait],MATCH(Tabel_forfaits[[#This Row],[Zaakcode]],Tabel_kleine_n[Kategorie],0)), 0)</f>
        <v>4</v>
      </c>
      <c r="G6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69" s="86" t="str">
        <f t="shared" si="0"/>
        <v>kleine n</v>
      </c>
      <c r="J69" s="61" t="s">
        <v>120</v>
      </c>
      <c r="K69" s="62" t="s">
        <v>247</v>
      </c>
      <c r="L69" s="63">
        <v>4</v>
      </c>
      <c r="M69" s="62"/>
      <c r="N69" s="127"/>
      <c r="P69" s="1" t="s">
        <v>120</v>
      </c>
      <c r="Q69" s="28" t="s">
        <v>247</v>
      </c>
      <c r="R69" s="28">
        <v>2</v>
      </c>
      <c r="S69" s="28">
        <v>4</v>
      </c>
      <c r="T69" s="28">
        <v>4</v>
      </c>
    </row>
    <row r="70" spans="2:20" ht="13.5" thickBot="1" x14ac:dyDescent="0.35">
      <c r="B70" s="1" t="s">
        <v>121</v>
      </c>
      <c r="C70" s="34">
        <f>INDEX(Tabel_forfaits_huidig[Afgiftedatum t/m 31-12-2021],MATCH(Tabel_forfaits[[#This Row],[Zaakcode]],Tabel_forfaits_huidig[Zaakcode],0))</f>
        <v>8</v>
      </c>
      <c r="D7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70" s="34">
        <f>INDEX(Tabel_forfaits_Cebeon[afgerond],MATCH(Tabel_forfaits[[#This Row],[Zaakcode]],Tabel_forfaits_Cebeon[Zaakcode],0))</f>
        <v>0</v>
      </c>
      <c r="F70" s="34">
        <f>IFERROR( INDEX(Tabel_kleine_n[voorstel nieuw forfait],MATCH(Tabel_forfaits[[#This Row],[Zaakcode]],Tabel_kleine_n[Kategorie],0)), 0)</f>
        <v>8</v>
      </c>
      <c r="G7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70" s="86" t="str">
        <f t="shared" si="0"/>
        <v>kleine n</v>
      </c>
      <c r="J70" s="58" t="s">
        <v>121</v>
      </c>
      <c r="K70" s="59" t="s">
        <v>248</v>
      </c>
      <c r="L70" s="60">
        <v>8</v>
      </c>
      <c r="M70" s="59"/>
      <c r="N70" s="126"/>
      <c r="P70" s="1" t="s">
        <v>121</v>
      </c>
      <c r="Q70" s="27" t="s">
        <v>248</v>
      </c>
      <c r="R70" s="27">
        <v>8</v>
      </c>
      <c r="S70" s="27">
        <v>8</v>
      </c>
      <c r="T70" s="27">
        <v>8</v>
      </c>
    </row>
    <row r="71" spans="2:20" ht="13.5" thickBot="1" x14ac:dyDescent="0.35">
      <c r="B71" s="1" t="s">
        <v>122</v>
      </c>
      <c r="C71" s="34">
        <f>INDEX(Tabel_forfaits_huidig[Afgiftedatum t/m 31-12-2021],MATCH(Tabel_forfaits[[#This Row],[Zaakcode]],Tabel_forfaits_huidig[Zaakcode],0))</f>
        <v>2</v>
      </c>
      <c r="D7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71" s="34">
        <f>INDEX(Tabel_forfaits_Cebeon[afgerond],MATCH(Tabel_forfaits[[#This Row],[Zaakcode]],Tabel_forfaits_Cebeon[Zaakcode],0))</f>
        <v>0</v>
      </c>
      <c r="F71" s="34">
        <f>IFERROR( INDEX(Tabel_kleine_n[voorstel nieuw forfait],MATCH(Tabel_forfaits[[#This Row],[Zaakcode]],Tabel_kleine_n[Kategorie],0)), 0)</f>
        <v>5</v>
      </c>
      <c r="G7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71" s="86" t="str">
        <f t="shared" si="0"/>
        <v>kleine n</v>
      </c>
      <c r="J71" s="61" t="s">
        <v>122</v>
      </c>
      <c r="K71" s="62" t="s">
        <v>249</v>
      </c>
      <c r="L71" s="63">
        <v>5</v>
      </c>
      <c r="M71" s="62"/>
      <c r="N71" s="127"/>
      <c r="P71" s="1" t="s">
        <v>122</v>
      </c>
      <c r="Q71" s="28" t="s">
        <v>249</v>
      </c>
      <c r="R71" s="28">
        <v>2</v>
      </c>
      <c r="S71" s="28">
        <v>5</v>
      </c>
      <c r="T71" s="28">
        <v>5</v>
      </c>
    </row>
    <row r="72" spans="2:20" ht="13.5" thickBot="1" x14ac:dyDescent="0.35">
      <c r="B72" s="1" t="s">
        <v>375</v>
      </c>
      <c r="C72" s="34">
        <f>INDEX(Tabel_forfaits_huidig[Afgiftedatum t/m 31-12-2021],MATCH(Tabel_forfaits[[#This Row],[Zaakcode]],Tabel_forfaits_huidig[Zaakcode],0))</f>
        <v>5</v>
      </c>
      <c r="D7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72" s="34">
        <f>INDEX(Tabel_forfaits_Cebeon[afgerond],MATCH(Tabel_forfaits[[#This Row],[Zaakcode]],Tabel_forfaits_Cebeon[Zaakcode],0))</f>
        <v>0</v>
      </c>
      <c r="F72" s="34">
        <f>IFERROR( INDEX(Tabel_kleine_n[voorstel nieuw forfait],MATCH(Tabel_forfaits[[#This Row],[Zaakcode]],Tabel_kleine_n[Kategorie],0)), 0)</f>
        <v>0</v>
      </c>
      <c r="G7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72" s="86"/>
      <c r="J72" s="58" t="s">
        <v>375</v>
      </c>
      <c r="K72" s="59" t="s">
        <v>250</v>
      </c>
      <c r="L72" s="60">
        <v>5</v>
      </c>
      <c r="M72" s="59"/>
      <c r="N72" s="126"/>
      <c r="P72" s="1" t="s">
        <v>375</v>
      </c>
      <c r="Q72" s="27" t="s">
        <v>250</v>
      </c>
      <c r="R72" s="27">
        <v>5</v>
      </c>
      <c r="S72" s="27">
        <v>5</v>
      </c>
      <c r="T72" s="27">
        <v>5</v>
      </c>
    </row>
    <row r="73" spans="2:20" ht="13.5" thickBot="1" x14ac:dyDescent="0.35">
      <c r="B73" s="1" t="s">
        <v>123</v>
      </c>
      <c r="C73" s="34">
        <f>INDEX(Tabel_forfaits_huidig[Afgiftedatum t/m 31-12-2021],MATCH(Tabel_forfaits[[#This Row],[Zaakcode]],Tabel_forfaits_huidig[Zaakcode],0))</f>
        <v>2</v>
      </c>
      <c r="D7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v>
      </c>
      <c r="E73" s="34">
        <f>INDEX(Tabel_forfaits_Cebeon[afgerond],MATCH(Tabel_forfaits[[#This Row],[Zaakcode]],Tabel_forfaits_Cebeon[Zaakcode],0))</f>
        <v>0</v>
      </c>
      <c r="F73" s="34">
        <f>IFERROR( INDEX(Tabel_kleine_n[voorstel nieuw forfait],MATCH(Tabel_forfaits[[#This Row],[Zaakcode]],Tabel_kleine_n[Kategorie],0)), 0)</f>
        <v>2</v>
      </c>
      <c r="G7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v>
      </c>
      <c r="H73" s="86" t="str">
        <f>$H$20</f>
        <v>kleine n</v>
      </c>
      <c r="J73" s="61" t="s">
        <v>123</v>
      </c>
      <c r="K73" s="62" t="s">
        <v>251</v>
      </c>
      <c r="L73" s="63">
        <v>2</v>
      </c>
      <c r="M73" s="62"/>
      <c r="N73" s="127"/>
      <c r="P73" s="1" t="s">
        <v>123</v>
      </c>
      <c r="Q73" s="28" t="s">
        <v>251</v>
      </c>
      <c r="R73" s="28">
        <v>2</v>
      </c>
      <c r="S73" s="28">
        <v>2</v>
      </c>
      <c r="T73" s="28">
        <v>2</v>
      </c>
    </row>
    <row r="74" spans="2:20" ht="13.5" thickBot="1" x14ac:dyDescent="0.35">
      <c r="B74" s="1" t="str">
        <f>Tabel_forfaits_Cebeon[[#This Row],[Zaakcode]]</f>
        <v>Overige zaken - Civiel recht</v>
      </c>
      <c r="C74" s="34"/>
      <c r="D74" s="34"/>
      <c r="E74" s="34"/>
      <c r="F74" s="34">
        <f>IFERROR( INDEX(Tabel_kleine_n[voorstel nieuw forfait],MATCH(Tabel_forfaits[[#This Row],[Zaakcode]],Tabel_kleine_n[Kategorie],0)), 0)</f>
        <v>0</v>
      </c>
      <c r="G7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74" s="86"/>
      <c r="J74" s="73" t="s">
        <v>252</v>
      </c>
      <c r="K74" s="44"/>
      <c r="L74" s="74"/>
      <c r="M74" s="44"/>
      <c r="N74" s="128"/>
      <c r="P74" s="29" t="s">
        <v>252</v>
      </c>
      <c r="Q74" s="30"/>
      <c r="R74" s="30"/>
      <c r="S74" s="30"/>
      <c r="T74" s="30"/>
    </row>
    <row r="75" spans="2:20" ht="26.5" thickBot="1" x14ac:dyDescent="0.35">
      <c r="B75" s="1" t="s">
        <v>87</v>
      </c>
      <c r="C75" s="34">
        <f>INDEX(Tabel_forfaits_huidig[Afgiftedatum t/m 31-12-2021],MATCH(Tabel_forfaits[[#This Row],[Zaakcode]],Tabel_forfaits_huidig[Zaakcode],0))</f>
        <v>9</v>
      </c>
      <c r="D7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75" s="34">
        <f>INDEX(Tabel_forfaits_Cebeon[afgerond],MATCH(Tabel_forfaits[[#This Row],[Zaakcode]],Tabel_forfaits_Cebeon[Zaakcode],0))</f>
        <v>0</v>
      </c>
      <c r="F75" s="34">
        <f>IFERROR( INDEX(Tabel_kleine_n[voorstel nieuw forfait],MATCH(Tabel_forfaits[[#This Row],[Zaakcode]],Tabel_kleine_n[Kategorie],0)), 0)</f>
        <v>17</v>
      </c>
      <c r="G7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17</v>
      </c>
      <c r="H75" s="86" t="str">
        <f>$H$20</f>
        <v>kleine n</v>
      </c>
      <c r="J75" s="61" t="s">
        <v>87</v>
      </c>
      <c r="K75" s="62" t="s">
        <v>253</v>
      </c>
      <c r="L75" s="63">
        <v>15</v>
      </c>
      <c r="M75" s="62"/>
      <c r="N75" s="127"/>
      <c r="P75" s="1" t="s">
        <v>87</v>
      </c>
      <c r="Q75" s="28" t="s">
        <v>253</v>
      </c>
      <c r="R75" s="28">
        <v>9</v>
      </c>
      <c r="S75" s="28">
        <v>15</v>
      </c>
      <c r="T75" s="28">
        <v>15</v>
      </c>
    </row>
    <row r="76" spans="2:20" ht="26.5" thickBot="1" x14ac:dyDescent="0.35">
      <c r="B76" s="1" t="str">
        <f>Tabel_forfaits_Cebeon[[#This Row],[Zaakcode]]</f>
        <v>Strafrechtelijke zaken: verdachten</v>
      </c>
      <c r="C76" s="34"/>
      <c r="D76" s="34"/>
      <c r="E76" s="34"/>
      <c r="F76" s="34">
        <f>IFERROR( INDEX(Tabel_kleine_n[voorstel nieuw forfait],MATCH(Tabel_forfaits[[#This Row],[Zaakcode]],Tabel_kleine_n[Kategorie],0)), 0)</f>
        <v>0</v>
      </c>
      <c r="G7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76" s="86"/>
      <c r="J76" s="73" t="s">
        <v>254</v>
      </c>
      <c r="K76" s="44"/>
      <c r="L76" s="74"/>
      <c r="M76" s="44"/>
      <c r="N76" s="128"/>
      <c r="P76" s="29" t="s">
        <v>254</v>
      </c>
      <c r="Q76" s="30"/>
      <c r="R76" s="30"/>
      <c r="S76" s="30"/>
      <c r="T76" s="30"/>
    </row>
    <row r="77" spans="2:20" ht="13.5" thickBot="1" x14ac:dyDescent="0.35">
      <c r="B77" s="1" t="s">
        <v>88</v>
      </c>
      <c r="C77" s="34">
        <f>INDEX(Tabel_forfaits_huidig[Afgiftedatum t/m 31-12-2021],MATCH(Tabel_forfaits[[#This Row],[Zaakcode]],Tabel_forfaits_huidig[Zaakcode],0))</f>
        <v>5</v>
      </c>
      <c r="D7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77" s="34">
        <f>INDEX(Tabel_forfaits_Cebeon[afgerond],MATCH(Tabel_forfaits[[#This Row],[Zaakcode]],Tabel_forfaits_Cebeon[Zaakcode],0))</f>
        <v>6</v>
      </c>
      <c r="F77" s="34">
        <f>IFERROR( INDEX(Tabel_kleine_n[voorstel nieuw forfait],MATCH(Tabel_forfaits[[#This Row],[Zaakcode]],Tabel_kleine_n[Kategorie],0)), 0)</f>
        <v>0</v>
      </c>
      <c r="G7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77" s="86"/>
      <c r="J77" s="54" t="s">
        <v>88</v>
      </c>
      <c r="K77" s="55" t="s">
        <v>255</v>
      </c>
      <c r="L77" s="56">
        <v>6</v>
      </c>
      <c r="M77" s="55">
        <v>6.3</v>
      </c>
      <c r="N77" s="127">
        <v>6</v>
      </c>
      <c r="P77" s="1" t="s">
        <v>88</v>
      </c>
      <c r="Q77" s="28" t="s">
        <v>255</v>
      </c>
      <c r="R77" s="28">
        <v>5</v>
      </c>
      <c r="S77" s="28">
        <v>6</v>
      </c>
      <c r="T77" s="28">
        <v>6</v>
      </c>
    </row>
    <row r="78" spans="2:20" ht="13.5" thickBot="1" x14ac:dyDescent="0.35">
      <c r="B78" s="1" t="s">
        <v>89</v>
      </c>
      <c r="C78" s="34">
        <f>INDEX(Tabel_forfaits_huidig[Afgiftedatum t/m 31-12-2021],MATCH(Tabel_forfaits[[#This Row],[Zaakcode]],Tabel_forfaits_huidig[Zaakcode],0))</f>
        <v>6</v>
      </c>
      <c r="D7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78" s="34">
        <f>INDEX(Tabel_forfaits_Cebeon[afgerond],MATCH(Tabel_forfaits[[#This Row],[Zaakcode]],Tabel_forfaits_Cebeon[Zaakcode],0))</f>
        <v>7</v>
      </c>
      <c r="F78" s="34">
        <f>IFERROR( INDEX(Tabel_kleine_n[voorstel nieuw forfait],MATCH(Tabel_forfaits[[#This Row],[Zaakcode]],Tabel_kleine_n[Kategorie],0)), 0)</f>
        <v>0</v>
      </c>
      <c r="G7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78" s="86"/>
      <c r="J78" s="51" t="s">
        <v>89</v>
      </c>
      <c r="K78" s="52" t="s">
        <v>256</v>
      </c>
      <c r="L78" s="53">
        <v>7</v>
      </c>
      <c r="M78" s="52">
        <v>6.8</v>
      </c>
      <c r="N78" s="126">
        <v>7</v>
      </c>
      <c r="P78" s="1" t="s">
        <v>89</v>
      </c>
      <c r="Q78" s="27" t="s">
        <v>256</v>
      </c>
      <c r="R78" s="27">
        <v>6</v>
      </c>
      <c r="S78" s="27">
        <v>7</v>
      </c>
      <c r="T78" s="27">
        <v>7</v>
      </c>
    </row>
    <row r="79" spans="2:20" ht="13.5" thickBot="1" x14ac:dyDescent="0.35">
      <c r="B79" s="1" t="s">
        <v>90</v>
      </c>
      <c r="C79" s="34">
        <f>INDEX(Tabel_forfaits_huidig[Afgiftedatum t/m 31-12-2021],MATCH(Tabel_forfaits[[#This Row],[Zaakcode]],Tabel_forfaits_huidig[Zaakcode],0))</f>
        <v>5</v>
      </c>
      <c r="D7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79" s="34">
        <f>INDEX(Tabel_forfaits_Cebeon[afgerond],MATCH(Tabel_forfaits[[#This Row],[Zaakcode]],Tabel_forfaits_Cebeon[Zaakcode],0))</f>
        <v>5</v>
      </c>
      <c r="F79" s="34">
        <f>IFERROR( INDEX(Tabel_kleine_n[voorstel nieuw forfait],MATCH(Tabel_forfaits[[#This Row],[Zaakcode]],Tabel_kleine_n[Kategorie],0)), 0)</f>
        <v>0</v>
      </c>
      <c r="G7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79" s="86"/>
      <c r="J79" s="54" t="s">
        <v>90</v>
      </c>
      <c r="K79" s="55" t="s">
        <v>257</v>
      </c>
      <c r="L79" s="56">
        <v>6</v>
      </c>
      <c r="M79" s="55">
        <v>5.4</v>
      </c>
      <c r="N79" s="127">
        <v>5</v>
      </c>
      <c r="P79" s="1" t="s">
        <v>90</v>
      </c>
      <c r="Q79" s="28" t="s">
        <v>257</v>
      </c>
      <c r="R79" s="28">
        <v>5</v>
      </c>
      <c r="S79" s="28">
        <v>6</v>
      </c>
      <c r="T79" s="28">
        <v>6</v>
      </c>
    </row>
    <row r="80" spans="2:20" ht="26.5" thickBot="1" x14ac:dyDescent="0.35">
      <c r="B80" s="1" t="s">
        <v>91</v>
      </c>
      <c r="C80" s="34">
        <f>INDEX(Tabel_forfaits_huidig[Afgiftedatum t/m 31-12-2021],MATCH(Tabel_forfaits[[#This Row],[Zaakcode]],Tabel_forfaits_huidig[Zaakcode],0))</f>
        <v>6</v>
      </c>
      <c r="D8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80" s="34">
        <f>INDEX(Tabel_forfaits_Cebeon[afgerond],MATCH(Tabel_forfaits[[#This Row],[Zaakcode]],Tabel_forfaits_Cebeon[Zaakcode],0))</f>
        <v>7</v>
      </c>
      <c r="F80" s="34">
        <f>IFERROR( INDEX(Tabel_kleine_n[voorstel nieuw forfait],MATCH(Tabel_forfaits[[#This Row],[Zaakcode]],Tabel_kleine_n[Kategorie],0)), 0)</f>
        <v>0</v>
      </c>
      <c r="G8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80" s="86"/>
      <c r="J80" s="51" t="s">
        <v>91</v>
      </c>
      <c r="K80" s="52" t="s">
        <v>258</v>
      </c>
      <c r="L80" s="53">
        <v>7</v>
      </c>
      <c r="M80" s="52">
        <v>6.9</v>
      </c>
      <c r="N80" s="126">
        <v>7</v>
      </c>
      <c r="P80" s="1" t="s">
        <v>91</v>
      </c>
      <c r="Q80" s="27" t="s">
        <v>258</v>
      </c>
      <c r="R80" s="27">
        <v>6</v>
      </c>
      <c r="S80" s="27">
        <v>7</v>
      </c>
      <c r="T80" s="27">
        <v>7</v>
      </c>
    </row>
    <row r="81" spans="2:20" ht="13.5" thickBot="1" x14ac:dyDescent="0.35">
      <c r="B81" s="1" t="s">
        <v>92</v>
      </c>
      <c r="C81" s="34">
        <f>INDEX(Tabel_forfaits_huidig[Afgiftedatum t/m 31-12-2021],MATCH(Tabel_forfaits[[#This Row],[Zaakcode]],Tabel_forfaits_huidig[Zaakcode],0))</f>
        <v>6</v>
      </c>
      <c r="D8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81" s="34">
        <f>INDEX(Tabel_forfaits_Cebeon[afgerond],MATCH(Tabel_forfaits[[#This Row],[Zaakcode]],Tabel_forfaits_Cebeon[Zaakcode],0))</f>
        <v>6</v>
      </c>
      <c r="F81" s="34">
        <f>IFERROR( INDEX(Tabel_kleine_n[voorstel nieuw forfait],MATCH(Tabel_forfaits[[#This Row],[Zaakcode]],Tabel_kleine_n[Kategorie],0)), 0)</f>
        <v>0</v>
      </c>
      <c r="G8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81" s="86"/>
      <c r="J81" s="54" t="s">
        <v>92</v>
      </c>
      <c r="K81" s="55" t="s">
        <v>259</v>
      </c>
      <c r="L81" s="56">
        <v>6</v>
      </c>
      <c r="M81" s="55">
        <v>5.7</v>
      </c>
      <c r="N81" s="127">
        <v>6</v>
      </c>
      <c r="P81" s="1" t="s">
        <v>92</v>
      </c>
      <c r="Q81" s="28" t="s">
        <v>259</v>
      </c>
      <c r="R81" s="28">
        <v>6</v>
      </c>
      <c r="S81" s="28">
        <v>6</v>
      </c>
      <c r="T81" s="28">
        <v>6</v>
      </c>
    </row>
    <row r="82" spans="2:20" ht="13.5" thickBot="1" x14ac:dyDescent="0.35">
      <c r="B82" s="1" t="s">
        <v>93</v>
      </c>
      <c r="C82" s="34">
        <f>INDEX(Tabel_forfaits_huidig[Afgiftedatum t/m 31-12-2021],MATCH(Tabel_forfaits[[#This Row],[Zaakcode]],Tabel_forfaits_huidig[Zaakcode],0))</f>
        <v>4</v>
      </c>
      <c r="D8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82" s="34">
        <f>INDEX(Tabel_forfaits_Cebeon[afgerond],MATCH(Tabel_forfaits[[#This Row],[Zaakcode]],Tabel_forfaits_Cebeon[Zaakcode],0))</f>
        <v>5</v>
      </c>
      <c r="F82" s="34">
        <f>IFERROR( INDEX(Tabel_kleine_n[voorstel nieuw forfait],MATCH(Tabel_forfaits[[#This Row],[Zaakcode]],Tabel_kleine_n[Kategorie],0)), 0)</f>
        <v>0</v>
      </c>
      <c r="G8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82" s="86"/>
      <c r="J82" s="69" t="s">
        <v>93</v>
      </c>
      <c r="K82" s="52" t="s">
        <v>260</v>
      </c>
      <c r="L82" s="53">
        <v>5</v>
      </c>
      <c r="M82" s="52">
        <v>5.5</v>
      </c>
      <c r="N82" s="126">
        <v>5</v>
      </c>
      <c r="P82" s="1" t="s">
        <v>93</v>
      </c>
      <c r="Q82" s="27" t="s">
        <v>260</v>
      </c>
      <c r="R82" s="27">
        <v>4</v>
      </c>
      <c r="S82" s="27">
        <v>5</v>
      </c>
      <c r="T82" s="27">
        <v>5</v>
      </c>
    </row>
    <row r="83" spans="2:20" ht="26.5" thickBot="1" x14ac:dyDescent="0.35">
      <c r="B83" s="1" t="s">
        <v>94</v>
      </c>
      <c r="C83" s="34">
        <f>INDEX(Tabel_forfaits_huidig[Afgiftedatum t/m 31-12-2021],MATCH(Tabel_forfaits[[#This Row],[Zaakcode]],Tabel_forfaits_huidig[Zaakcode],0))</f>
        <v>8</v>
      </c>
      <c r="D8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14</v>
      </c>
      <c r="E83" s="34">
        <f>INDEX(Tabel_forfaits_Cebeon[afgerond],MATCH(Tabel_forfaits[[#This Row],[Zaakcode]],Tabel_forfaits_Cebeon[Zaakcode],0))</f>
        <v>15</v>
      </c>
      <c r="F83" s="34">
        <f>IFERROR( INDEX(Tabel_kleine_n[voorstel nieuw forfait],MATCH(Tabel_forfaits[[#This Row],[Zaakcode]],Tabel_kleine_n[Kategorie],0)), 0)</f>
        <v>0</v>
      </c>
      <c r="G8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15</v>
      </c>
      <c r="H83" s="86"/>
      <c r="J83" s="54" t="s">
        <v>94</v>
      </c>
      <c r="K83" s="55" t="s">
        <v>261</v>
      </c>
      <c r="L83" s="56">
        <v>14</v>
      </c>
      <c r="M83" s="304">
        <v>15</v>
      </c>
      <c r="N83" s="127">
        <v>15</v>
      </c>
      <c r="P83" s="1" t="s">
        <v>94</v>
      </c>
      <c r="Q83" s="28" t="s">
        <v>261</v>
      </c>
      <c r="R83" s="28">
        <v>8</v>
      </c>
      <c r="S83" s="28">
        <v>14</v>
      </c>
      <c r="T83" s="28">
        <v>14</v>
      </c>
    </row>
    <row r="84" spans="2:20" ht="26.5" thickBot="1" x14ac:dyDescent="0.35">
      <c r="B84" s="1" t="str">
        <f>Tabel_forfaits_Cebeon[[#This Row],[Zaakcode]]</f>
        <v>Strafrechtelijke zaken: niet-verdachten</v>
      </c>
      <c r="C84" s="34"/>
      <c r="D84" s="34"/>
      <c r="E84" s="34"/>
      <c r="F84" s="34">
        <f>IFERROR( INDEX(Tabel_kleine_n[voorstel nieuw forfait],MATCH(Tabel_forfaits[[#This Row],[Zaakcode]],Tabel_kleine_n[Kategorie],0)), 0)</f>
        <v>0</v>
      </c>
      <c r="G8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84" s="86"/>
      <c r="J84" s="73" t="s">
        <v>262</v>
      </c>
      <c r="K84" s="44"/>
      <c r="L84" s="74"/>
      <c r="M84" s="44"/>
      <c r="N84" s="128"/>
      <c r="P84" s="29" t="s">
        <v>262</v>
      </c>
      <c r="Q84" s="30"/>
      <c r="R84" s="30"/>
      <c r="S84" s="30"/>
      <c r="T84" s="30"/>
    </row>
    <row r="85" spans="2:20" ht="13.5" thickBot="1" x14ac:dyDescent="0.35">
      <c r="B85" s="1" t="s">
        <v>126</v>
      </c>
      <c r="C85" s="34">
        <f>INDEX(Tabel_forfaits_huidig[Afgiftedatum t/m 31-12-2021],MATCH(Tabel_forfaits[[#This Row],[Zaakcode]],Tabel_forfaits_huidig[Zaakcode],0))</f>
        <v>9</v>
      </c>
      <c r="D8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85" s="34">
        <f>INDEX(Tabel_forfaits_Cebeon[afgerond],MATCH(Tabel_forfaits[[#This Row],[Zaakcode]],Tabel_forfaits_Cebeon[Zaakcode],0))</f>
        <v>0</v>
      </c>
      <c r="F85" s="34">
        <f>IFERROR( INDEX(Tabel_kleine_n[voorstel nieuw forfait],MATCH(Tabel_forfaits[[#This Row],[Zaakcode]],Tabel_kleine_n[Kategorie],0)), 0)</f>
        <v>10</v>
      </c>
      <c r="G8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85" s="86" t="str">
        <f>$H$20</f>
        <v>kleine n</v>
      </c>
      <c r="J85" s="61" t="s">
        <v>126</v>
      </c>
      <c r="K85" s="62" t="s">
        <v>263</v>
      </c>
      <c r="L85" s="63">
        <v>10</v>
      </c>
      <c r="M85" s="62"/>
      <c r="N85" s="127"/>
      <c r="P85" s="1" t="s">
        <v>126</v>
      </c>
      <c r="Q85" s="28" t="s">
        <v>263</v>
      </c>
      <c r="R85" s="28">
        <v>9</v>
      </c>
      <c r="S85" s="28">
        <v>10</v>
      </c>
      <c r="T85" s="28">
        <v>10</v>
      </c>
    </row>
    <row r="86" spans="2:20" ht="13.5" thickBot="1" x14ac:dyDescent="0.35">
      <c r="B86" s="1" t="s">
        <v>127</v>
      </c>
      <c r="C86" s="34">
        <f>INDEX(Tabel_forfaits_huidig[Afgiftedatum t/m 31-12-2021],MATCH(Tabel_forfaits[[#This Row],[Zaakcode]],Tabel_forfaits_huidig[Zaakcode],0))</f>
        <v>6</v>
      </c>
      <c r="D8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86" s="34">
        <f>INDEX(Tabel_forfaits_Cebeon[afgerond],MATCH(Tabel_forfaits[[#This Row],[Zaakcode]],Tabel_forfaits_Cebeon[Zaakcode],0))</f>
        <v>9</v>
      </c>
      <c r="F86" s="34">
        <f>IFERROR( INDEX(Tabel_kleine_n[voorstel nieuw forfait],MATCH(Tabel_forfaits[[#This Row],[Zaakcode]],Tabel_kleine_n[Kategorie],0)), 0)</f>
        <v>0</v>
      </c>
      <c r="G8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86" s="86"/>
      <c r="J86" s="51" t="s">
        <v>127</v>
      </c>
      <c r="K86" s="52" t="s">
        <v>264</v>
      </c>
      <c r="L86" s="53">
        <v>9</v>
      </c>
      <c r="M86" s="52">
        <v>9.1</v>
      </c>
      <c r="N86" s="126">
        <v>9</v>
      </c>
      <c r="P86" s="1" t="s">
        <v>127</v>
      </c>
      <c r="Q86" s="27" t="s">
        <v>264</v>
      </c>
      <c r="R86" s="27">
        <v>6</v>
      </c>
      <c r="S86" s="27">
        <v>9</v>
      </c>
      <c r="T86" s="27">
        <v>9</v>
      </c>
    </row>
    <row r="87" spans="2:20" x14ac:dyDescent="0.3">
      <c r="B87" s="28" t="s">
        <v>128</v>
      </c>
      <c r="C87" s="34">
        <f>INDEX(Tabel_forfaits_huidig[Afgiftedatum t/m 31-12-2021],MATCH(Tabel_forfaits[[#This Row],[Zaakcode]],Tabel_forfaits_huidig[Zaakcode],0))</f>
        <v>4</v>
      </c>
      <c r="D8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87" s="34" t="str">
        <f>INDEX(Tabel_forfaits_Cebeon[afgerond],MATCH(Tabel_forfaits[[#This Row],[Zaakcode]],Tabel_forfaits_Cebeon[Zaakcode],0))</f>
        <v>n.v.t.</v>
      </c>
      <c r="F87" s="34">
        <f>IFERROR( INDEX(Tabel_kleine_n[voorstel nieuw forfait],MATCH(Tabel_forfaits[[#This Row],[Zaakcode]],Tabel_kleine_n[Kategorie],0)), 0)</f>
        <v>0</v>
      </c>
      <c r="G87"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87" s="86"/>
      <c r="J87" s="75" t="s">
        <v>128</v>
      </c>
      <c r="K87" s="76" t="s">
        <v>266</v>
      </c>
      <c r="L87" s="76" t="s">
        <v>63</v>
      </c>
      <c r="M87" s="76" t="s">
        <v>63</v>
      </c>
      <c r="N87" s="129" t="s">
        <v>63</v>
      </c>
      <c r="P87" s="28" t="s">
        <v>128</v>
      </c>
      <c r="Q87" s="28" t="s">
        <v>266</v>
      </c>
      <c r="R87" s="28">
        <v>4</v>
      </c>
      <c r="S87" s="28" t="s">
        <v>63</v>
      </c>
      <c r="T87" s="28" t="s">
        <v>63</v>
      </c>
    </row>
    <row r="88" spans="2:20" ht="65.5" thickBot="1" x14ac:dyDescent="0.35">
      <c r="B88" s="28" t="str">
        <f>Tabel_forfaits_Cebeon[[#This Row],[Zaakcode]]</f>
        <v>Vergoeding aan de hand van de codes Z020 t/m Z023)</v>
      </c>
      <c r="C88" s="34"/>
      <c r="D88" s="34"/>
      <c r="E88" s="34"/>
      <c r="F88" s="34">
        <f>IFERROR( INDEX(Tabel_kleine_n[voorstel nieuw forfait],MATCH(Tabel_forfaits[[#This Row],[Zaakcode]],Tabel_kleine_n[Kategorie],0)), 0)</f>
        <v>0</v>
      </c>
      <c r="G8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88" s="86"/>
      <c r="J88" s="55" t="s">
        <v>265</v>
      </c>
      <c r="K88" s="56"/>
      <c r="L88" s="56"/>
      <c r="M88" s="56"/>
      <c r="N88" s="127"/>
      <c r="P88" s="28" t="s">
        <v>265</v>
      </c>
      <c r="Q88" s="28"/>
      <c r="R88" s="28"/>
      <c r="S88" s="28"/>
      <c r="T88" s="28"/>
    </row>
    <row r="89" spans="2:20" ht="13.5" thickBot="1" x14ac:dyDescent="0.35">
      <c r="B89" s="23" t="s">
        <v>129</v>
      </c>
      <c r="C89" s="34">
        <f>INDEX(Tabel_forfaits_huidig[Afgiftedatum t/m 31-12-2021],MATCH(Tabel_forfaits[[#This Row],[Zaakcode]],Tabel_forfaits_huidig[Zaakcode],0))</f>
        <v>4</v>
      </c>
      <c r="D8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89" s="34">
        <f>INDEX(Tabel_forfaits_Cebeon[afgerond],MATCH(Tabel_forfaits[[#This Row],[Zaakcode]],Tabel_forfaits_Cebeon[Zaakcode],0))</f>
        <v>4</v>
      </c>
      <c r="F89" s="34">
        <f>IFERROR( INDEX(Tabel_kleine_n[voorstel nieuw forfait],MATCH(Tabel_forfaits[[#This Row],[Zaakcode]],Tabel_kleine_n[Kategorie],0)), 0)</f>
        <v>0</v>
      </c>
      <c r="G8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89" s="86"/>
      <c r="J89" s="44" t="s">
        <v>129</v>
      </c>
      <c r="K89" s="44" t="s">
        <v>267</v>
      </c>
      <c r="L89" s="53">
        <v>4</v>
      </c>
      <c r="M89" s="52">
        <v>4.3</v>
      </c>
      <c r="N89" s="126">
        <v>4</v>
      </c>
      <c r="P89" s="30" t="s">
        <v>129</v>
      </c>
      <c r="Q89" s="30" t="s">
        <v>267</v>
      </c>
      <c r="R89" s="27">
        <v>4</v>
      </c>
      <c r="S89" s="27">
        <v>4</v>
      </c>
      <c r="T89" s="27">
        <v>4</v>
      </c>
    </row>
    <row r="90" spans="2:20" ht="26.5" thickBot="1" x14ac:dyDescent="0.35">
      <c r="B90" s="23" t="s">
        <v>130</v>
      </c>
      <c r="C90" s="34">
        <f>INDEX(Tabel_forfaits_huidig[Afgiftedatum t/m 31-12-2021],MATCH(Tabel_forfaits[[#This Row],[Zaakcode]],Tabel_forfaits_huidig[Zaakcode],0))</f>
        <v>5</v>
      </c>
      <c r="D9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90" s="34">
        <f>INDEX(Tabel_forfaits_Cebeon[afgerond],MATCH(Tabel_forfaits[[#This Row],[Zaakcode]],Tabel_forfaits_Cebeon[Zaakcode],0))</f>
        <v>5</v>
      </c>
      <c r="F90" s="34">
        <f>IFERROR( INDEX(Tabel_kleine_n[voorstel nieuw forfait],MATCH(Tabel_forfaits[[#This Row],[Zaakcode]],Tabel_kleine_n[Kategorie],0)), 0)</f>
        <v>0</v>
      </c>
      <c r="G9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90" s="86"/>
      <c r="J90" s="46" t="s">
        <v>130</v>
      </c>
      <c r="K90" s="46" t="s">
        <v>268</v>
      </c>
      <c r="L90" s="56">
        <v>5</v>
      </c>
      <c r="M90" s="55">
        <v>4.8</v>
      </c>
      <c r="N90" s="127">
        <v>5</v>
      </c>
      <c r="P90" s="23" t="s">
        <v>130</v>
      </c>
      <c r="Q90" s="23" t="s">
        <v>268</v>
      </c>
      <c r="R90" s="28">
        <v>5</v>
      </c>
      <c r="S90" s="28">
        <v>5</v>
      </c>
      <c r="T90" s="28">
        <v>5</v>
      </c>
    </row>
    <row r="91" spans="2:20" ht="26.5" thickBot="1" x14ac:dyDescent="0.35">
      <c r="B91" s="23" t="s">
        <v>131</v>
      </c>
      <c r="C91" s="34">
        <f>INDEX(Tabel_forfaits_huidig[Afgiftedatum t/m 31-12-2021],MATCH(Tabel_forfaits[[#This Row],[Zaakcode]],Tabel_forfaits_huidig[Zaakcode],0))</f>
        <v>6</v>
      </c>
      <c r="D9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91" s="34">
        <f>INDEX(Tabel_forfaits_Cebeon[afgerond],MATCH(Tabel_forfaits[[#This Row],[Zaakcode]],Tabel_forfaits_Cebeon[Zaakcode],0))</f>
        <v>5</v>
      </c>
      <c r="F91" s="34">
        <f>IFERROR( INDEX(Tabel_kleine_n[voorstel nieuw forfait],MATCH(Tabel_forfaits[[#This Row],[Zaakcode]],Tabel_kleine_n[Kategorie],0)), 0)</f>
        <v>0</v>
      </c>
      <c r="G9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91" s="86"/>
      <c r="J91" s="44" t="s">
        <v>131</v>
      </c>
      <c r="K91" s="44" t="s">
        <v>269</v>
      </c>
      <c r="L91" s="53">
        <v>6</v>
      </c>
      <c r="M91" s="52">
        <v>4.8</v>
      </c>
      <c r="N91" s="126">
        <v>5</v>
      </c>
      <c r="P91" s="30" t="s">
        <v>131</v>
      </c>
      <c r="Q91" s="30" t="s">
        <v>269</v>
      </c>
      <c r="R91" s="27">
        <v>6</v>
      </c>
      <c r="S91" s="27">
        <v>6</v>
      </c>
      <c r="T91" s="27">
        <v>6</v>
      </c>
    </row>
    <row r="92" spans="2:20" ht="13.5" thickBot="1" x14ac:dyDescent="0.35">
      <c r="B92" s="1" t="s">
        <v>132</v>
      </c>
      <c r="C92" s="34">
        <f>INDEX(Tabel_forfaits_huidig[Afgiftedatum t/m 31-12-2021],MATCH(Tabel_forfaits[[#This Row],[Zaakcode]],Tabel_forfaits_huidig[Zaakcode],0))</f>
        <v>7</v>
      </c>
      <c r="D9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92" s="34">
        <f>INDEX(Tabel_forfaits_Cebeon[afgerond],MATCH(Tabel_forfaits[[#This Row],[Zaakcode]],Tabel_forfaits_Cebeon[Zaakcode],0))</f>
        <v>11</v>
      </c>
      <c r="F92" s="34">
        <f>IFERROR( INDEX(Tabel_kleine_n[voorstel nieuw forfait],MATCH(Tabel_forfaits[[#This Row],[Zaakcode]],Tabel_kleine_n[Kategorie],0)), 0)</f>
        <v>0</v>
      </c>
      <c r="G9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92" s="86"/>
      <c r="J92" s="54" t="s">
        <v>132</v>
      </c>
      <c r="K92" s="55" t="s">
        <v>270</v>
      </c>
      <c r="L92" s="56">
        <v>10</v>
      </c>
      <c r="M92" s="55">
        <v>11.4</v>
      </c>
      <c r="N92" s="127">
        <v>11</v>
      </c>
      <c r="P92" s="1" t="s">
        <v>132</v>
      </c>
      <c r="Q92" s="28" t="s">
        <v>270</v>
      </c>
      <c r="R92" s="28">
        <v>7</v>
      </c>
      <c r="S92" s="28">
        <v>10</v>
      </c>
      <c r="T92" s="28">
        <v>10</v>
      </c>
    </row>
    <row r="93" spans="2:20" ht="13.5" thickBot="1" x14ac:dyDescent="0.35">
      <c r="B93" s="1" t="s">
        <v>133</v>
      </c>
      <c r="C93" s="34">
        <f>INDEX(Tabel_forfaits_huidig[Afgiftedatum t/m 31-12-2021],MATCH(Tabel_forfaits[[#This Row],[Zaakcode]],Tabel_forfaits_huidig[Zaakcode],0))</f>
        <v>3</v>
      </c>
      <c r="D9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93" s="34">
        <f>INDEX(Tabel_forfaits_Cebeon[afgerond],MATCH(Tabel_forfaits[[#This Row],[Zaakcode]],Tabel_forfaits_Cebeon[Zaakcode],0))</f>
        <v>4</v>
      </c>
      <c r="F93" s="34">
        <f>IFERROR( INDEX(Tabel_kleine_n[voorstel nieuw forfait],MATCH(Tabel_forfaits[[#This Row],[Zaakcode]],Tabel_kleine_n[Kategorie],0)), 0)</f>
        <v>0</v>
      </c>
      <c r="G9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93" s="86"/>
      <c r="J93" s="51" t="s">
        <v>133</v>
      </c>
      <c r="K93" s="52" t="s">
        <v>271</v>
      </c>
      <c r="L93" s="53">
        <v>4</v>
      </c>
      <c r="M93" s="52">
        <v>4.4000000000000004</v>
      </c>
      <c r="N93" s="126">
        <v>4</v>
      </c>
      <c r="P93" s="1" t="s">
        <v>133</v>
      </c>
      <c r="Q93" s="27" t="s">
        <v>271</v>
      </c>
      <c r="R93" s="27">
        <v>3</v>
      </c>
      <c r="S93" s="27">
        <v>4</v>
      </c>
      <c r="T93" s="27">
        <v>4</v>
      </c>
    </row>
    <row r="94" spans="2:20" ht="13.5" thickBot="1" x14ac:dyDescent="0.35">
      <c r="B94" s="1" t="s">
        <v>134</v>
      </c>
      <c r="C94" s="34">
        <f>INDEX(Tabel_forfaits_huidig[Afgiftedatum t/m 31-12-2021],MATCH(Tabel_forfaits[[#This Row],[Zaakcode]],Tabel_forfaits_huidig[Zaakcode],0))</f>
        <v>4</v>
      </c>
      <c r="D9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94" s="34">
        <f>INDEX(Tabel_forfaits_Cebeon[afgerond],MATCH(Tabel_forfaits[[#This Row],[Zaakcode]],Tabel_forfaits_Cebeon[Zaakcode],0))</f>
        <v>5</v>
      </c>
      <c r="F94" s="34">
        <f>IFERROR( INDEX(Tabel_kleine_n[voorstel nieuw forfait],MATCH(Tabel_forfaits[[#This Row],[Zaakcode]],Tabel_kleine_n[Kategorie],0)), 0)</f>
        <v>0</v>
      </c>
      <c r="G9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94" s="86"/>
      <c r="J94" s="54" t="s">
        <v>134</v>
      </c>
      <c r="K94" s="55" t="s">
        <v>272</v>
      </c>
      <c r="L94" s="56">
        <v>5</v>
      </c>
      <c r="M94" s="55">
        <v>5.3</v>
      </c>
      <c r="N94" s="127">
        <v>5</v>
      </c>
      <c r="P94" s="1" t="s">
        <v>134</v>
      </c>
      <c r="Q94" s="28" t="s">
        <v>272</v>
      </c>
      <c r="R94" s="28">
        <v>4</v>
      </c>
      <c r="S94" s="28">
        <v>5</v>
      </c>
      <c r="T94" s="28">
        <v>5</v>
      </c>
    </row>
    <row r="95" spans="2:20" ht="13.5" thickBot="1" x14ac:dyDescent="0.35">
      <c r="B95" s="1" t="s">
        <v>135</v>
      </c>
      <c r="C95" s="34">
        <f>INDEX(Tabel_forfaits_huidig[Afgiftedatum t/m 31-12-2021],MATCH(Tabel_forfaits[[#This Row],[Zaakcode]],Tabel_forfaits_huidig[Zaakcode],0))</f>
        <v>5</v>
      </c>
      <c r="D9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95" s="34">
        <f>INDEX(Tabel_forfaits_Cebeon[afgerond],MATCH(Tabel_forfaits[[#This Row],[Zaakcode]],Tabel_forfaits_Cebeon[Zaakcode],0))</f>
        <v>9</v>
      </c>
      <c r="F95" s="34">
        <f>IFERROR( INDEX(Tabel_kleine_n[voorstel nieuw forfait],MATCH(Tabel_forfaits[[#This Row],[Zaakcode]],Tabel_kleine_n[Kategorie],0)), 0)</f>
        <v>0</v>
      </c>
      <c r="G9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95" s="86"/>
      <c r="J95" s="51" t="s">
        <v>135</v>
      </c>
      <c r="K95" s="52" t="s">
        <v>273</v>
      </c>
      <c r="L95" s="53">
        <v>9</v>
      </c>
      <c r="M95" s="52">
        <v>8.6</v>
      </c>
      <c r="N95" s="126">
        <v>9</v>
      </c>
      <c r="P95" s="1" t="s">
        <v>135</v>
      </c>
      <c r="Q95" s="27" t="s">
        <v>273</v>
      </c>
      <c r="R95" s="27">
        <v>5</v>
      </c>
      <c r="S95" s="27">
        <v>9</v>
      </c>
      <c r="T95" s="27">
        <v>9</v>
      </c>
    </row>
    <row r="96" spans="2:20" ht="26.5" thickBot="1" x14ac:dyDescent="0.35">
      <c r="B96" s="1" t="s">
        <v>136</v>
      </c>
      <c r="C96" s="34">
        <f>INDEX(Tabel_forfaits_huidig[Afgiftedatum t/m 31-12-2021],MATCH(Tabel_forfaits[[#This Row],[Zaakcode]],Tabel_forfaits_huidig[Zaakcode],0))</f>
        <v>4</v>
      </c>
      <c r="D9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96" s="34">
        <f>INDEX(Tabel_forfaits_Cebeon[afgerond],MATCH(Tabel_forfaits[[#This Row],[Zaakcode]],Tabel_forfaits_Cebeon[Zaakcode],0))</f>
        <v>5</v>
      </c>
      <c r="F96" s="34">
        <f>IFERROR( INDEX(Tabel_kleine_n[voorstel nieuw forfait],MATCH(Tabel_forfaits[[#This Row],[Zaakcode]],Tabel_kleine_n[Kategorie],0)), 0)</f>
        <v>0</v>
      </c>
      <c r="G9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96" s="86"/>
      <c r="J96" s="54" t="s">
        <v>136</v>
      </c>
      <c r="K96" s="55" t="s">
        <v>274</v>
      </c>
      <c r="L96" s="56">
        <v>5</v>
      </c>
      <c r="M96" s="55">
        <v>5.4</v>
      </c>
      <c r="N96" s="127">
        <v>5</v>
      </c>
      <c r="P96" s="1" t="s">
        <v>136</v>
      </c>
      <c r="Q96" s="28" t="s">
        <v>274</v>
      </c>
      <c r="R96" s="28">
        <v>4</v>
      </c>
      <c r="S96" s="28">
        <v>5</v>
      </c>
      <c r="T96" s="28">
        <v>5</v>
      </c>
    </row>
    <row r="97" spans="2:20" ht="13.5" thickBot="1" x14ac:dyDescent="0.35">
      <c r="B97" s="1" t="s">
        <v>137</v>
      </c>
      <c r="C97" s="34">
        <f>INDEX(Tabel_forfaits_huidig[Afgiftedatum t/m 31-12-2021],MATCH(Tabel_forfaits[[#This Row],[Zaakcode]],Tabel_forfaits_huidig[Zaakcode],0))</f>
        <v>4</v>
      </c>
      <c r="D9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97" s="34">
        <f>INDEX(Tabel_forfaits_Cebeon[afgerond],MATCH(Tabel_forfaits[[#This Row],[Zaakcode]],Tabel_forfaits_Cebeon[Zaakcode],0))</f>
        <v>0</v>
      </c>
      <c r="F97" s="34">
        <f>IFERROR( INDEX(Tabel_kleine_n[voorstel nieuw forfait],MATCH(Tabel_forfaits[[#This Row],[Zaakcode]],Tabel_kleine_n[Kategorie],0)), 0)</f>
        <v>6</v>
      </c>
      <c r="G9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97" s="86" t="str">
        <f>$H$20</f>
        <v>kleine n</v>
      </c>
      <c r="J97" s="58" t="s">
        <v>137</v>
      </c>
      <c r="K97" s="59" t="s">
        <v>275</v>
      </c>
      <c r="L97" s="60">
        <v>6</v>
      </c>
      <c r="M97" s="59"/>
      <c r="N97" s="126"/>
      <c r="P97" s="1" t="s">
        <v>137</v>
      </c>
      <c r="Q97" s="27" t="s">
        <v>275</v>
      </c>
      <c r="R97" s="27">
        <v>4</v>
      </c>
      <c r="S97" s="27">
        <v>6</v>
      </c>
      <c r="T97" s="27">
        <v>6</v>
      </c>
    </row>
    <row r="98" spans="2:20" ht="13.5" thickBot="1" x14ac:dyDescent="0.35">
      <c r="B98" s="1" t="s">
        <v>138</v>
      </c>
      <c r="C98" s="34">
        <f>INDEX(Tabel_forfaits_huidig[Afgiftedatum t/m 31-12-2021],MATCH(Tabel_forfaits[[#This Row],[Zaakcode]],Tabel_forfaits_huidig[Zaakcode],0))</f>
        <v>4</v>
      </c>
      <c r="D9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98" s="34">
        <f>INDEX(Tabel_forfaits_Cebeon[afgerond],MATCH(Tabel_forfaits[[#This Row],[Zaakcode]],Tabel_forfaits_Cebeon[Zaakcode],0))</f>
        <v>4</v>
      </c>
      <c r="F98" s="34">
        <f>IFERROR( INDEX(Tabel_kleine_n[voorstel nieuw forfait],MATCH(Tabel_forfaits[[#This Row],[Zaakcode]],Tabel_kleine_n[Kategorie],0)), 0)</f>
        <v>0</v>
      </c>
      <c r="G9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98" s="86"/>
      <c r="J98" s="54" t="s">
        <v>138</v>
      </c>
      <c r="K98" s="55" t="s">
        <v>276</v>
      </c>
      <c r="L98" s="56">
        <v>4</v>
      </c>
      <c r="M98" s="55">
        <v>4.3</v>
      </c>
      <c r="N98" s="127">
        <v>4</v>
      </c>
      <c r="P98" s="1" t="s">
        <v>138</v>
      </c>
      <c r="Q98" s="28" t="s">
        <v>276</v>
      </c>
      <c r="R98" s="28">
        <v>4</v>
      </c>
      <c r="S98" s="28">
        <v>4</v>
      </c>
      <c r="T98" s="28">
        <v>4</v>
      </c>
    </row>
    <row r="99" spans="2:20" ht="13.5" thickBot="1" x14ac:dyDescent="0.35">
      <c r="B99" s="1" t="s">
        <v>139</v>
      </c>
      <c r="C99" s="34">
        <f>INDEX(Tabel_forfaits_huidig[Afgiftedatum t/m 31-12-2021],MATCH(Tabel_forfaits[[#This Row],[Zaakcode]],Tabel_forfaits_huidig[Zaakcode],0))</f>
        <v>3</v>
      </c>
      <c r="D9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99" s="34">
        <f>INDEX(Tabel_forfaits_Cebeon[afgerond],MATCH(Tabel_forfaits[[#This Row],[Zaakcode]],Tabel_forfaits_Cebeon[Zaakcode],0))</f>
        <v>0</v>
      </c>
      <c r="F99" s="34">
        <f>IFERROR( INDEX(Tabel_kleine_n[voorstel nieuw forfait],MATCH(Tabel_forfaits[[#This Row],[Zaakcode]],Tabel_kleine_n[Kategorie],0)), 0)</f>
        <v>6</v>
      </c>
      <c r="G9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99" s="86" t="str">
        <f>$H$20</f>
        <v>kleine n</v>
      </c>
      <c r="J99" s="58" t="s">
        <v>139</v>
      </c>
      <c r="K99" s="59" t="s">
        <v>277</v>
      </c>
      <c r="L99" s="60">
        <v>4</v>
      </c>
      <c r="M99" s="59"/>
      <c r="N99" s="126"/>
      <c r="P99" s="1" t="s">
        <v>139</v>
      </c>
      <c r="Q99" s="27" t="s">
        <v>277</v>
      </c>
      <c r="R99" s="27">
        <v>3</v>
      </c>
      <c r="S99" s="27">
        <v>4</v>
      </c>
      <c r="T99" s="27">
        <v>4</v>
      </c>
    </row>
    <row r="100" spans="2:20" ht="13.5" thickBot="1" x14ac:dyDescent="0.35">
      <c r="B100" s="1" t="s">
        <v>140</v>
      </c>
      <c r="C100" s="34">
        <f>INDEX(Tabel_forfaits_huidig[Afgiftedatum t/m 31-12-2021],MATCH(Tabel_forfaits[[#This Row],[Zaakcode]],Tabel_forfaits_huidig[Zaakcode],0))</f>
        <v>3</v>
      </c>
      <c r="D10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100" s="34">
        <f>INDEX(Tabel_forfaits_Cebeon[afgerond],MATCH(Tabel_forfaits[[#This Row],[Zaakcode]],Tabel_forfaits_Cebeon[Zaakcode],0))</f>
        <v>5</v>
      </c>
      <c r="F100" s="34">
        <f>IFERROR( INDEX(Tabel_kleine_n[voorstel nieuw forfait],MATCH(Tabel_forfaits[[#This Row],[Zaakcode]],Tabel_kleine_n[Kategorie],0)), 0)</f>
        <v>0</v>
      </c>
      <c r="G10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100" s="86"/>
      <c r="J100" s="54" t="s">
        <v>140</v>
      </c>
      <c r="K100" s="55" t="s">
        <v>278</v>
      </c>
      <c r="L100" s="56">
        <v>5</v>
      </c>
      <c r="M100" s="55">
        <v>5.0999999999999996</v>
      </c>
      <c r="N100" s="127">
        <v>5</v>
      </c>
      <c r="P100" s="1" t="s">
        <v>140</v>
      </c>
      <c r="Q100" s="28" t="s">
        <v>278</v>
      </c>
      <c r="R100" s="28">
        <v>3</v>
      </c>
      <c r="S100" s="28">
        <v>5</v>
      </c>
      <c r="T100" s="28">
        <v>5</v>
      </c>
    </row>
    <row r="101" spans="2:20" ht="13.5" thickBot="1" x14ac:dyDescent="0.35">
      <c r="B101" s="1" t="s">
        <v>141</v>
      </c>
      <c r="C101" s="34">
        <f>INDEX(Tabel_forfaits_huidig[Afgiftedatum t/m 31-12-2021],MATCH(Tabel_forfaits[[#This Row],[Zaakcode]],Tabel_forfaits_huidig[Zaakcode],0))</f>
        <v>3</v>
      </c>
      <c r="D10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101" s="34">
        <f>INDEX(Tabel_forfaits_Cebeon[afgerond],MATCH(Tabel_forfaits[[#This Row],[Zaakcode]],Tabel_forfaits_Cebeon[Zaakcode],0))</f>
        <v>5</v>
      </c>
      <c r="F101" s="34">
        <f>IFERROR( INDEX(Tabel_kleine_n[voorstel nieuw forfait],MATCH(Tabel_forfaits[[#This Row],[Zaakcode]],Tabel_kleine_n[Kategorie],0)), 0)</f>
        <v>0</v>
      </c>
      <c r="G10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101" s="86"/>
      <c r="J101" s="51" t="s">
        <v>141</v>
      </c>
      <c r="K101" s="52" t="s">
        <v>279</v>
      </c>
      <c r="L101" s="53">
        <v>5</v>
      </c>
      <c r="M101" s="52">
        <v>5.3</v>
      </c>
      <c r="N101" s="126">
        <v>5</v>
      </c>
      <c r="P101" s="1" t="s">
        <v>141</v>
      </c>
      <c r="Q101" s="27" t="s">
        <v>279</v>
      </c>
      <c r="R101" s="27">
        <v>3</v>
      </c>
      <c r="S101" s="27">
        <v>5</v>
      </c>
      <c r="T101" s="27">
        <v>5</v>
      </c>
    </row>
    <row r="102" spans="2:20" ht="13.5" thickBot="1" x14ac:dyDescent="0.35">
      <c r="B102" s="1" t="s">
        <v>142</v>
      </c>
      <c r="C102" s="34">
        <f>INDEX(Tabel_forfaits_huidig[Afgiftedatum t/m 31-12-2021],MATCH(Tabel_forfaits[[#This Row],[Zaakcode]],Tabel_forfaits_huidig[Zaakcode],0))</f>
        <v>4</v>
      </c>
      <c r="D10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102" s="34">
        <f>INDEX(Tabel_forfaits_Cebeon[afgerond],MATCH(Tabel_forfaits[[#This Row],[Zaakcode]],Tabel_forfaits_Cebeon[Zaakcode],0))</f>
        <v>5</v>
      </c>
      <c r="F102" s="34">
        <f>IFERROR( INDEX(Tabel_kleine_n[voorstel nieuw forfait],MATCH(Tabel_forfaits[[#This Row],[Zaakcode]],Tabel_kleine_n[Kategorie],0)), 0)</f>
        <v>0</v>
      </c>
      <c r="G10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5</v>
      </c>
      <c r="H102" s="86"/>
      <c r="J102" s="54" t="s">
        <v>142</v>
      </c>
      <c r="K102" s="55" t="s">
        <v>280</v>
      </c>
      <c r="L102" s="56">
        <v>5</v>
      </c>
      <c r="M102" s="55">
        <v>4.9000000000000004</v>
      </c>
      <c r="N102" s="127">
        <v>5</v>
      </c>
      <c r="P102" s="1" t="s">
        <v>142</v>
      </c>
      <c r="Q102" s="28" t="s">
        <v>280</v>
      </c>
      <c r="R102" s="28">
        <v>4</v>
      </c>
      <c r="S102" s="28">
        <v>5</v>
      </c>
      <c r="T102" s="28">
        <v>5</v>
      </c>
    </row>
    <row r="103" spans="2:20" ht="13.5" thickBot="1" x14ac:dyDescent="0.35">
      <c r="B103" s="1" t="s">
        <v>143</v>
      </c>
      <c r="C103" s="34">
        <f>INDEX(Tabel_forfaits_huidig[Afgiftedatum t/m 31-12-2021],MATCH(Tabel_forfaits[[#This Row],[Zaakcode]],Tabel_forfaits_huidig[Zaakcode],0))</f>
        <v>5</v>
      </c>
      <c r="D10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7</v>
      </c>
      <c r="E103" s="34">
        <f>INDEX(Tabel_forfaits_Cebeon[afgerond],MATCH(Tabel_forfaits[[#This Row],[Zaakcode]],Tabel_forfaits_Cebeon[Zaakcode],0))</f>
        <v>8</v>
      </c>
      <c r="F103" s="34">
        <f>IFERROR( INDEX(Tabel_kleine_n[voorstel nieuw forfait],MATCH(Tabel_forfaits[[#This Row],[Zaakcode]],Tabel_kleine_n[Kategorie],0)), 0)</f>
        <v>0</v>
      </c>
      <c r="G10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03" s="86"/>
      <c r="J103" s="51" t="s">
        <v>143</v>
      </c>
      <c r="K103" s="52" t="s">
        <v>281</v>
      </c>
      <c r="L103" s="53">
        <v>7</v>
      </c>
      <c r="M103" s="52">
        <v>8.1999999999999993</v>
      </c>
      <c r="N103" s="126">
        <v>8</v>
      </c>
      <c r="P103" s="1" t="s">
        <v>143</v>
      </c>
      <c r="Q103" s="27" t="s">
        <v>281</v>
      </c>
      <c r="R103" s="27">
        <v>5</v>
      </c>
      <c r="S103" s="27">
        <v>7</v>
      </c>
      <c r="T103" s="27">
        <v>7</v>
      </c>
    </row>
    <row r="104" spans="2:20" ht="13.5" thickBot="1" x14ac:dyDescent="0.35">
      <c r="B104" s="1" t="s">
        <v>144</v>
      </c>
      <c r="C104" s="34">
        <f>INDEX(Tabel_forfaits_huidig[Afgiftedatum t/m 31-12-2021],MATCH(Tabel_forfaits[[#This Row],[Zaakcode]],Tabel_forfaits_huidig[Zaakcode],0))</f>
        <v>8</v>
      </c>
      <c r="D10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04" s="34">
        <f>INDEX(Tabel_forfaits_Cebeon[afgerond],MATCH(Tabel_forfaits[[#This Row],[Zaakcode]],Tabel_forfaits_Cebeon[Zaakcode],0))</f>
        <v>0</v>
      </c>
      <c r="F104" s="34">
        <f>IFERROR( INDEX(Tabel_kleine_n[voorstel nieuw forfait],MATCH(Tabel_forfaits[[#This Row],[Zaakcode]],Tabel_kleine_n[Kategorie],0)), 0)</f>
        <v>9</v>
      </c>
      <c r="G10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04" s="86" t="str">
        <f>$H$20</f>
        <v>kleine n</v>
      </c>
      <c r="J104" s="61" t="s">
        <v>144</v>
      </c>
      <c r="K104" s="62" t="s">
        <v>282</v>
      </c>
      <c r="L104" s="63">
        <v>9</v>
      </c>
      <c r="M104" s="62"/>
      <c r="N104" s="127"/>
      <c r="P104" s="1" t="s">
        <v>144</v>
      </c>
      <c r="Q104" s="28" t="s">
        <v>282</v>
      </c>
      <c r="R104" s="28">
        <v>8</v>
      </c>
      <c r="S104" s="28">
        <v>9</v>
      </c>
      <c r="T104" s="28">
        <v>9</v>
      </c>
    </row>
    <row r="105" spans="2:20" ht="13.5" thickBot="1" x14ac:dyDescent="0.35">
      <c r="B105" s="1" t="s">
        <v>145</v>
      </c>
      <c r="C105" s="34">
        <f>INDEX(Tabel_forfaits_huidig[Afgiftedatum t/m 31-12-2021],MATCH(Tabel_forfaits[[#This Row],[Zaakcode]],Tabel_forfaits_huidig[Zaakcode],0))</f>
        <v>3</v>
      </c>
      <c r="D10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105" s="34">
        <f>INDEX(Tabel_forfaits_Cebeon[afgerond],MATCH(Tabel_forfaits[[#This Row],[Zaakcode]],Tabel_forfaits_Cebeon[Zaakcode],0))</f>
        <v>7</v>
      </c>
      <c r="F105" s="34">
        <f>IFERROR( INDEX(Tabel_kleine_n[voorstel nieuw forfait],MATCH(Tabel_forfaits[[#This Row],[Zaakcode]],Tabel_kleine_n[Kategorie],0)), 0)</f>
        <v>0</v>
      </c>
      <c r="G10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105" s="86"/>
      <c r="J105" s="51" t="s">
        <v>145</v>
      </c>
      <c r="K105" s="52" t="s">
        <v>283</v>
      </c>
      <c r="L105" s="53">
        <v>6</v>
      </c>
      <c r="M105" s="52">
        <v>7.3</v>
      </c>
      <c r="N105" s="126">
        <v>7</v>
      </c>
      <c r="P105" s="1" t="s">
        <v>145</v>
      </c>
      <c r="Q105" s="27" t="s">
        <v>283</v>
      </c>
      <c r="R105" s="27">
        <v>3</v>
      </c>
      <c r="S105" s="27">
        <v>6</v>
      </c>
      <c r="T105" s="27">
        <v>6</v>
      </c>
    </row>
    <row r="106" spans="2:20" ht="26.5" thickBot="1" x14ac:dyDescent="0.35">
      <c r="B106" s="1" t="s">
        <v>146</v>
      </c>
      <c r="C106" s="34">
        <f>INDEX(Tabel_forfaits_huidig[Afgiftedatum t/m 31-12-2021],MATCH(Tabel_forfaits[[#This Row],[Zaakcode]],Tabel_forfaits_huidig[Zaakcode],0))</f>
        <v>4</v>
      </c>
      <c r="D10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106" s="34">
        <f>INDEX(Tabel_forfaits_Cebeon[afgerond],MATCH(Tabel_forfaits[[#This Row],[Zaakcode]],Tabel_forfaits_Cebeon[Zaakcode],0))</f>
        <v>7</v>
      </c>
      <c r="F106" s="34">
        <f>IFERROR( INDEX(Tabel_kleine_n[voorstel nieuw forfait],MATCH(Tabel_forfaits[[#This Row],[Zaakcode]],Tabel_kleine_n[Kategorie],0)), 0)</f>
        <v>0</v>
      </c>
      <c r="G10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7</v>
      </c>
      <c r="H106" s="86"/>
      <c r="J106" s="54" t="s">
        <v>146</v>
      </c>
      <c r="K106" s="55" t="s">
        <v>284</v>
      </c>
      <c r="L106" s="56">
        <v>6</v>
      </c>
      <c r="M106" s="67">
        <v>7</v>
      </c>
      <c r="N106" s="127">
        <v>7</v>
      </c>
      <c r="P106" s="1" t="s">
        <v>146</v>
      </c>
      <c r="Q106" s="28" t="s">
        <v>284</v>
      </c>
      <c r="R106" s="28">
        <v>4</v>
      </c>
      <c r="S106" s="28">
        <v>6</v>
      </c>
      <c r="T106" s="28">
        <v>6</v>
      </c>
    </row>
    <row r="107" spans="2:20" ht="13.5" thickBot="1" x14ac:dyDescent="0.35">
      <c r="B107" s="1" t="s">
        <v>147</v>
      </c>
      <c r="C107" s="34">
        <f>INDEX(Tabel_forfaits_huidig[Afgiftedatum t/m 31-12-2021],MATCH(Tabel_forfaits[[#This Row],[Zaakcode]],Tabel_forfaits_huidig[Zaakcode],0))</f>
        <v>4</v>
      </c>
      <c r="D10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107" s="34">
        <f>INDEX(Tabel_forfaits_Cebeon[afgerond],MATCH(Tabel_forfaits[[#This Row],[Zaakcode]],Tabel_forfaits_Cebeon[Zaakcode],0))</f>
        <v>0</v>
      </c>
      <c r="F107" s="34">
        <f>IFERROR( INDEX(Tabel_kleine_n[voorstel nieuw forfait],MATCH(Tabel_forfaits[[#This Row],[Zaakcode]],Tabel_kleine_n[Kategorie],0)), 0)</f>
        <v>6</v>
      </c>
      <c r="G10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107" s="86" t="str">
        <f>$H$20</f>
        <v>kleine n</v>
      </c>
      <c r="J107" s="58" t="s">
        <v>147</v>
      </c>
      <c r="K107" s="59" t="s">
        <v>285</v>
      </c>
      <c r="L107" s="60">
        <v>6</v>
      </c>
      <c r="M107" s="59"/>
      <c r="N107" s="126"/>
      <c r="P107" s="1" t="s">
        <v>147</v>
      </c>
      <c r="Q107" s="27" t="s">
        <v>285</v>
      </c>
      <c r="R107" s="27">
        <v>4</v>
      </c>
      <c r="S107" s="27">
        <v>6</v>
      </c>
      <c r="T107" s="27">
        <v>6</v>
      </c>
    </row>
    <row r="108" spans="2:20" ht="13.5" thickBot="1" x14ac:dyDescent="0.35">
      <c r="B108" s="1" t="s">
        <v>148</v>
      </c>
      <c r="C108" s="34">
        <f>INDEX(Tabel_forfaits_huidig[Afgiftedatum t/m 31-12-2021],MATCH(Tabel_forfaits[[#This Row],[Zaakcode]],Tabel_forfaits_huidig[Zaakcode],0))</f>
        <v>4</v>
      </c>
      <c r="D10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6</v>
      </c>
      <c r="E108" s="34">
        <f>INDEX(Tabel_forfaits_Cebeon[afgerond],MATCH(Tabel_forfaits[[#This Row],[Zaakcode]],Tabel_forfaits_Cebeon[Zaakcode],0))</f>
        <v>0</v>
      </c>
      <c r="F108" s="34">
        <f>IFERROR( INDEX(Tabel_kleine_n[voorstel nieuw forfait],MATCH(Tabel_forfaits[[#This Row],[Zaakcode]],Tabel_kleine_n[Kategorie],0)), 0)</f>
        <v>6</v>
      </c>
      <c r="G10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108" s="86" t="str">
        <f>$H$20</f>
        <v>kleine n</v>
      </c>
      <c r="J108" s="61" t="s">
        <v>148</v>
      </c>
      <c r="K108" s="62" t="s">
        <v>286</v>
      </c>
      <c r="L108" s="63">
        <v>6</v>
      </c>
      <c r="M108" s="62"/>
      <c r="N108" s="127"/>
      <c r="P108" s="1" t="s">
        <v>148</v>
      </c>
      <c r="Q108" s="28" t="s">
        <v>286</v>
      </c>
      <c r="R108" s="28">
        <v>4</v>
      </c>
      <c r="S108" s="28">
        <v>6</v>
      </c>
      <c r="T108" s="28">
        <v>6</v>
      </c>
    </row>
    <row r="109" spans="2:20" ht="13.5" thickBot="1" x14ac:dyDescent="0.35">
      <c r="B109" s="1" t="s">
        <v>149</v>
      </c>
      <c r="C109" s="34">
        <f>INDEX(Tabel_forfaits_huidig[Afgiftedatum t/m 31-12-2021],MATCH(Tabel_forfaits[[#This Row],[Zaakcode]],Tabel_forfaits_huidig[Zaakcode],0))</f>
        <v>3</v>
      </c>
      <c r="D10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5</v>
      </c>
      <c r="E109" s="34">
        <f>INDEX(Tabel_forfaits_Cebeon[afgerond],MATCH(Tabel_forfaits[[#This Row],[Zaakcode]],Tabel_forfaits_Cebeon[Zaakcode],0))</f>
        <v>6</v>
      </c>
      <c r="F109" s="34">
        <f>IFERROR( INDEX(Tabel_kleine_n[voorstel nieuw forfait],MATCH(Tabel_forfaits[[#This Row],[Zaakcode]],Tabel_kleine_n[Kategorie],0)), 0)</f>
        <v>0</v>
      </c>
      <c r="G10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6</v>
      </c>
      <c r="H109" s="86"/>
      <c r="J109" s="51" t="s">
        <v>149</v>
      </c>
      <c r="K109" s="52" t="s">
        <v>287</v>
      </c>
      <c r="L109" s="53">
        <v>5</v>
      </c>
      <c r="M109" s="64">
        <v>6</v>
      </c>
      <c r="N109" s="126">
        <v>6</v>
      </c>
      <c r="P109" s="1" t="s">
        <v>149</v>
      </c>
      <c r="Q109" s="27" t="s">
        <v>287</v>
      </c>
      <c r="R109" s="27">
        <v>3</v>
      </c>
      <c r="S109" s="27">
        <v>5</v>
      </c>
      <c r="T109" s="27">
        <v>5</v>
      </c>
    </row>
    <row r="110" spans="2:20" ht="13.5" thickBot="1" x14ac:dyDescent="0.35">
      <c r="B110" s="1" t="str">
        <f>Tabel_forfaits_Cebeon[[#This Row],[Zaakcode]]</f>
        <v>Arbeidsrecht</v>
      </c>
      <c r="C110" s="34"/>
      <c r="D110" s="34"/>
      <c r="E110" s="34"/>
      <c r="F110" s="34">
        <f>IFERROR( INDEX(Tabel_kleine_n[voorstel nieuw forfait],MATCH(Tabel_forfaits[[#This Row],[Zaakcode]],Tabel_kleine_n[Kategorie],0)), 0)</f>
        <v>0</v>
      </c>
      <c r="G11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10" s="86"/>
      <c r="J110" s="45" t="s">
        <v>288</v>
      </c>
      <c r="K110" s="46"/>
      <c r="L110" s="65"/>
      <c r="M110" s="46"/>
      <c r="N110" s="125"/>
      <c r="P110" s="26" t="s">
        <v>288</v>
      </c>
      <c r="Q110" s="23"/>
      <c r="R110" s="23"/>
      <c r="S110" s="23"/>
      <c r="T110" s="23"/>
    </row>
    <row r="111" spans="2:20" ht="13.5" thickBot="1" x14ac:dyDescent="0.35">
      <c r="B111" s="1" t="s">
        <v>7</v>
      </c>
      <c r="C111" s="34">
        <f>INDEX(Tabel_forfaits_huidig[Afgiftedatum t/m 31-12-2021],MATCH(Tabel_forfaits[[#This Row],[Zaakcode]],Tabel_forfaits_huidig[Zaakcode],0))</f>
        <v>11</v>
      </c>
      <c r="D11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19</v>
      </c>
      <c r="E111" s="34">
        <f>INDEX(Tabel_forfaits_Cebeon[afgerond],MATCH(Tabel_forfaits[[#This Row],[Zaakcode]],Tabel_forfaits_Cebeon[Zaakcode],0))</f>
        <v>24</v>
      </c>
      <c r="F111" s="34">
        <f>IFERROR( INDEX(Tabel_kleine_n[voorstel nieuw forfait],MATCH(Tabel_forfaits[[#This Row],[Zaakcode]],Tabel_kleine_n[Kategorie],0)), 0)</f>
        <v>0</v>
      </c>
      <c r="G11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24</v>
      </c>
      <c r="H111" s="86"/>
      <c r="J111" s="51" t="s">
        <v>7</v>
      </c>
      <c r="K111" s="52" t="s">
        <v>289</v>
      </c>
      <c r="L111" s="53">
        <v>19</v>
      </c>
      <c r="M111" s="52">
        <v>24.9</v>
      </c>
      <c r="N111" s="57">
        <v>24</v>
      </c>
      <c r="P111" s="1" t="s">
        <v>7</v>
      </c>
      <c r="Q111" s="27" t="s">
        <v>289</v>
      </c>
      <c r="R111" s="27">
        <v>11</v>
      </c>
      <c r="S111" s="27">
        <v>19</v>
      </c>
      <c r="T111" s="27">
        <v>19</v>
      </c>
    </row>
    <row r="112" spans="2:20" ht="13.5" thickBot="1" x14ac:dyDescent="0.35">
      <c r="B112" s="1" t="s">
        <v>8</v>
      </c>
      <c r="C112" s="34">
        <f>INDEX(Tabel_forfaits_huidig[Afgiftedatum t/m 31-12-2021],MATCH(Tabel_forfaits[[#This Row],[Zaakcode]],Tabel_forfaits_huidig[Zaakcode],0))</f>
        <v>11</v>
      </c>
      <c r="D11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23</v>
      </c>
      <c r="E112" s="34">
        <f>INDEX(Tabel_forfaits_Cebeon[afgerond],MATCH(Tabel_forfaits[[#This Row],[Zaakcode]],Tabel_forfaits_Cebeon[Zaakcode],0))</f>
        <v>0</v>
      </c>
      <c r="F112" s="34">
        <f>IFERROR( INDEX(Tabel_kleine_n[voorstel nieuw forfait],MATCH(Tabel_forfaits[[#This Row],[Zaakcode]],Tabel_kleine_n[Kategorie],0)), 0)</f>
        <v>23</v>
      </c>
      <c r="G11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23</v>
      </c>
      <c r="H112" s="86" t="str">
        <f>$H$20</f>
        <v>kleine n</v>
      </c>
      <c r="J112" s="61" t="s">
        <v>8</v>
      </c>
      <c r="K112" s="62" t="s">
        <v>290</v>
      </c>
      <c r="L112" s="63">
        <v>23</v>
      </c>
      <c r="M112" s="62"/>
      <c r="N112" s="127"/>
      <c r="P112" s="1" t="s">
        <v>8</v>
      </c>
      <c r="Q112" s="28" t="s">
        <v>290</v>
      </c>
      <c r="R112" s="28">
        <v>11</v>
      </c>
      <c r="S112" s="28">
        <v>23</v>
      </c>
      <c r="T112" s="28">
        <v>23</v>
      </c>
    </row>
    <row r="113" spans="2:20" ht="13.5" thickBot="1" x14ac:dyDescent="0.35">
      <c r="B113" s="1" t="s">
        <v>9</v>
      </c>
      <c r="C113" s="34">
        <f>INDEX(Tabel_forfaits_huidig[Afgiftedatum t/m 31-12-2021],MATCH(Tabel_forfaits[[#This Row],[Zaakcode]],Tabel_forfaits_huidig[Zaakcode],0))</f>
        <v>7</v>
      </c>
      <c r="D11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113" s="34">
        <f>INDEX(Tabel_forfaits_Cebeon[afgerond],MATCH(Tabel_forfaits[[#This Row],[Zaakcode]],Tabel_forfaits_Cebeon[Zaakcode],0))</f>
        <v>11</v>
      </c>
      <c r="F113" s="34">
        <f>IFERROR( INDEX(Tabel_kleine_n[voorstel nieuw forfait],MATCH(Tabel_forfaits[[#This Row],[Zaakcode]],Tabel_kleine_n[Kategorie],0)), 0)</f>
        <v>13</v>
      </c>
      <c r="G11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113" s="86" t="str">
        <f>$H$20</f>
        <v>kleine n</v>
      </c>
      <c r="J113" s="58" t="s">
        <v>9</v>
      </c>
      <c r="K113" s="59" t="s">
        <v>291</v>
      </c>
      <c r="L113" s="60">
        <v>11</v>
      </c>
      <c r="M113" s="59">
        <v>11</v>
      </c>
      <c r="N113" s="126">
        <v>11</v>
      </c>
      <c r="P113" s="1" t="s">
        <v>9</v>
      </c>
      <c r="Q113" s="27" t="s">
        <v>291</v>
      </c>
      <c r="R113" s="27">
        <v>7</v>
      </c>
      <c r="S113" s="27">
        <v>11</v>
      </c>
      <c r="T113" s="27">
        <v>11</v>
      </c>
    </row>
    <row r="114" spans="2:20" ht="13.5" thickBot="1" x14ac:dyDescent="0.35">
      <c r="B114" s="1" t="s">
        <v>10</v>
      </c>
      <c r="C114" s="34">
        <f>INDEX(Tabel_forfaits_huidig[Afgiftedatum t/m 31-12-2021],MATCH(Tabel_forfaits[[#This Row],[Zaakcode]],Tabel_forfaits_huidig[Zaakcode],0))</f>
        <v>8</v>
      </c>
      <c r="D11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16</v>
      </c>
      <c r="E114" s="34">
        <f>INDEX(Tabel_forfaits_Cebeon[afgerond],MATCH(Tabel_forfaits[[#This Row],[Zaakcode]],Tabel_forfaits_Cebeon[Zaakcode],0))</f>
        <v>24</v>
      </c>
      <c r="F114" s="34">
        <f>IFERROR( INDEX(Tabel_kleine_n[voorstel nieuw forfait],MATCH(Tabel_forfaits[[#This Row],[Zaakcode]],Tabel_kleine_n[Kategorie],0)), 0)</f>
        <v>0</v>
      </c>
      <c r="G11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24</v>
      </c>
      <c r="H114" s="86"/>
      <c r="J114" s="54" t="s">
        <v>10</v>
      </c>
      <c r="K114" s="55" t="s">
        <v>292</v>
      </c>
      <c r="L114" s="56">
        <v>16</v>
      </c>
      <c r="M114" s="55">
        <v>23</v>
      </c>
      <c r="N114" s="305">
        <v>24</v>
      </c>
      <c r="P114" s="1" t="s">
        <v>10</v>
      </c>
      <c r="Q114" s="28" t="s">
        <v>292</v>
      </c>
      <c r="R114" s="28">
        <v>8</v>
      </c>
      <c r="S114" s="28">
        <v>16</v>
      </c>
      <c r="T114" s="28">
        <v>16</v>
      </c>
    </row>
    <row r="115" spans="2:20" ht="13.5" thickBot="1" x14ac:dyDescent="0.35">
      <c r="B115" s="1" t="s">
        <v>11</v>
      </c>
      <c r="C115" s="34">
        <f>INDEX(Tabel_forfaits_huidig[Afgiftedatum t/m 31-12-2021],MATCH(Tabel_forfaits[[#This Row],[Zaakcode]],Tabel_forfaits_huidig[Zaakcode],0))</f>
        <v>11</v>
      </c>
      <c r="D11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20</v>
      </c>
      <c r="E115" s="34">
        <f>INDEX(Tabel_forfaits_Cebeon[afgerond],MATCH(Tabel_forfaits[[#This Row],[Zaakcode]],Tabel_forfaits_Cebeon[Zaakcode],0))</f>
        <v>0</v>
      </c>
      <c r="F115" s="34">
        <f>IFERROR( INDEX(Tabel_kleine_n[voorstel nieuw forfait],MATCH(Tabel_forfaits[[#This Row],[Zaakcode]],Tabel_kleine_n[Kategorie],0)), 0)</f>
        <v>20</v>
      </c>
      <c r="G11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20</v>
      </c>
      <c r="H115" s="86" t="str">
        <f>$H$20</f>
        <v>kleine n</v>
      </c>
      <c r="J115" s="58" t="s">
        <v>11</v>
      </c>
      <c r="K115" s="59" t="s">
        <v>293</v>
      </c>
      <c r="L115" s="60">
        <v>20</v>
      </c>
      <c r="M115" s="59"/>
      <c r="N115" s="126"/>
      <c r="P115" s="1" t="s">
        <v>11</v>
      </c>
      <c r="Q115" s="27" t="s">
        <v>293</v>
      </c>
      <c r="R115" s="27">
        <v>11</v>
      </c>
      <c r="S115" s="27">
        <v>20</v>
      </c>
      <c r="T115" s="27">
        <v>20</v>
      </c>
    </row>
    <row r="116" spans="2:20" ht="13.5" thickBot="1" x14ac:dyDescent="0.35">
      <c r="B116" s="1" t="s">
        <v>12</v>
      </c>
      <c r="C116" s="34">
        <f>INDEX(Tabel_forfaits_huidig[Afgiftedatum t/m 31-12-2021],MATCH(Tabel_forfaits[[#This Row],[Zaakcode]],Tabel_forfaits_huidig[Zaakcode],0))</f>
        <v>11</v>
      </c>
      <c r="D11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17</v>
      </c>
      <c r="E116" s="34">
        <f>INDEX(Tabel_forfaits_Cebeon[afgerond],MATCH(Tabel_forfaits[[#This Row],[Zaakcode]],Tabel_forfaits_Cebeon[Zaakcode],0))</f>
        <v>18</v>
      </c>
      <c r="F116" s="34">
        <f>IFERROR( INDEX(Tabel_kleine_n[voorstel nieuw forfait],MATCH(Tabel_forfaits[[#This Row],[Zaakcode]],Tabel_kleine_n[Kategorie],0)), 0)</f>
        <v>0</v>
      </c>
      <c r="G11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18</v>
      </c>
      <c r="H116" s="86"/>
      <c r="J116" s="54" t="s">
        <v>12</v>
      </c>
      <c r="K116" s="55" t="s">
        <v>294</v>
      </c>
      <c r="L116" s="56">
        <v>17</v>
      </c>
      <c r="M116" s="55">
        <v>17.899999999999999</v>
      </c>
      <c r="N116" s="127">
        <v>18</v>
      </c>
      <c r="P116" s="1" t="s">
        <v>12</v>
      </c>
      <c r="Q116" s="28" t="s">
        <v>294</v>
      </c>
      <c r="R116" s="28">
        <v>11</v>
      </c>
      <c r="S116" s="28">
        <v>17</v>
      </c>
      <c r="T116" s="28">
        <v>17</v>
      </c>
    </row>
    <row r="117" spans="2:20" ht="13.5" thickBot="1" x14ac:dyDescent="0.35">
      <c r="B117" s="1" t="s">
        <v>13</v>
      </c>
      <c r="C117" s="34">
        <f>INDEX(Tabel_forfaits_huidig[Afgiftedatum t/m 31-12-2021],MATCH(Tabel_forfaits[[#This Row],[Zaakcode]],Tabel_forfaits_huidig[Zaakcode],0))</f>
        <v>11</v>
      </c>
      <c r="D11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31</v>
      </c>
      <c r="E117" s="34">
        <f>INDEX(Tabel_forfaits_Cebeon[afgerond],MATCH(Tabel_forfaits[[#This Row],[Zaakcode]],Tabel_forfaits_Cebeon[Zaakcode],0))</f>
        <v>0</v>
      </c>
      <c r="F117" s="34">
        <f>IFERROR( INDEX(Tabel_kleine_n[voorstel nieuw forfait],MATCH(Tabel_forfaits[[#This Row],[Zaakcode]],Tabel_kleine_n[Kategorie],0)), 0)</f>
        <v>31</v>
      </c>
      <c r="G11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31</v>
      </c>
      <c r="H117" s="86" t="str">
        <f>$H$20</f>
        <v>kleine n</v>
      </c>
      <c r="J117" s="58" t="s">
        <v>13</v>
      </c>
      <c r="K117" s="59" t="s">
        <v>295</v>
      </c>
      <c r="L117" s="60">
        <v>31</v>
      </c>
      <c r="M117" s="59"/>
      <c r="N117" s="126"/>
      <c r="P117" s="1" t="s">
        <v>13</v>
      </c>
      <c r="Q117" s="27" t="s">
        <v>295</v>
      </c>
      <c r="R117" s="27">
        <v>11</v>
      </c>
      <c r="S117" s="27">
        <v>31</v>
      </c>
      <c r="T117" s="27">
        <v>31</v>
      </c>
    </row>
    <row r="118" spans="2:20" ht="13.5" thickBot="1" x14ac:dyDescent="0.35">
      <c r="B118" s="1" t="str">
        <f>Tabel_forfaits_Cebeon[[#This Row],[Zaakcode]]</f>
        <v>Ambtenarenrecht</v>
      </c>
      <c r="C118" s="34"/>
      <c r="D118" s="34"/>
      <c r="E118" s="34"/>
      <c r="F118" s="34">
        <f>IFERROR( INDEX(Tabel_kleine_n[voorstel nieuw forfait],MATCH(Tabel_forfaits[[#This Row],[Zaakcode]],Tabel_kleine_n[Kategorie],0)), 0)</f>
        <v>0</v>
      </c>
      <c r="G11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18" s="86"/>
      <c r="J118" s="45" t="s">
        <v>296</v>
      </c>
      <c r="K118" s="46"/>
      <c r="L118" s="65"/>
      <c r="M118" s="46"/>
      <c r="N118" s="125"/>
      <c r="P118" s="26" t="s">
        <v>296</v>
      </c>
      <c r="Q118" s="23"/>
      <c r="R118" s="23"/>
      <c r="S118" s="23"/>
      <c r="T118" s="23"/>
    </row>
    <row r="119" spans="2:20" ht="13.5" thickBot="1" x14ac:dyDescent="0.35">
      <c r="B119" s="1" t="s">
        <v>36</v>
      </c>
      <c r="C119" s="34">
        <f>INDEX(Tabel_forfaits_huidig[Afgiftedatum t/m 31-12-2021],MATCH(Tabel_forfaits[[#This Row],[Zaakcode]],Tabel_forfaits_huidig[Zaakcode],0))</f>
        <v>10</v>
      </c>
      <c r="D11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17</v>
      </c>
      <c r="E119" s="34">
        <f>INDEX(Tabel_forfaits_Cebeon[afgerond],MATCH(Tabel_forfaits[[#This Row],[Zaakcode]],Tabel_forfaits_Cebeon[Zaakcode],0))</f>
        <v>0</v>
      </c>
      <c r="F119" s="34">
        <f>IFERROR( INDEX(Tabel_kleine_n[voorstel nieuw forfait],MATCH(Tabel_forfaits[[#This Row],[Zaakcode]],Tabel_kleine_n[Kategorie],0)), 0)</f>
        <v>17</v>
      </c>
      <c r="G11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17</v>
      </c>
      <c r="H119" s="86" t="str">
        <f>$H$20</f>
        <v>kleine n</v>
      </c>
      <c r="J119" s="58" t="s">
        <v>36</v>
      </c>
      <c r="K119" s="59" t="s">
        <v>296</v>
      </c>
      <c r="L119" s="60">
        <v>17</v>
      </c>
      <c r="M119" s="59"/>
      <c r="N119" s="126"/>
      <c r="P119" s="1" t="s">
        <v>36</v>
      </c>
      <c r="Q119" s="27" t="s">
        <v>296</v>
      </c>
      <c r="R119" s="27">
        <v>10</v>
      </c>
      <c r="S119" s="27">
        <v>17</v>
      </c>
      <c r="T119" s="27">
        <v>17</v>
      </c>
    </row>
    <row r="120" spans="2:20" ht="13.5" thickBot="1" x14ac:dyDescent="0.35">
      <c r="B120" s="1" t="str">
        <f>Tabel_forfaits_Cebeon[[#This Row],[Zaakcode]]</f>
        <v>Bestuursrecht</v>
      </c>
      <c r="C120" s="34"/>
      <c r="D120" s="34"/>
      <c r="E120" s="34"/>
      <c r="F120" s="34">
        <f>IFERROR( INDEX(Tabel_kleine_n[voorstel nieuw forfait],MATCH(Tabel_forfaits[[#This Row],[Zaakcode]],Tabel_kleine_n[Kategorie],0)), 0)</f>
        <v>0</v>
      </c>
      <c r="G12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20" s="86"/>
      <c r="J120" s="45" t="s">
        <v>297</v>
      </c>
      <c r="K120" s="46"/>
      <c r="L120" s="65"/>
      <c r="M120" s="46"/>
      <c r="N120" s="125"/>
      <c r="P120" s="26" t="s">
        <v>297</v>
      </c>
      <c r="Q120" s="23"/>
      <c r="R120" s="23"/>
      <c r="S120" s="23"/>
      <c r="T120" s="23"/>
    </row>
    <row r="121" spans="2:20" ht="13.5" thickBot="1" x14ac:dyDescent="0.35">
      <c r="B121" s="1" t="s">
        <v>14</v>
      </c>
      <c r="C121" s="34">
        <f>INDEX(Tabel_forfaits_huidig[Afgiftedatum t/m 31-12-2021],MATCH(Tabel_forfaits[[#This Row],[Zaakcode]],Tabel_forfaits_huidig[Zaakcode],0))</f>
        <v>8</v>
      </c>
      <c r="D12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21" s="34">
        <f>INDEX(Tabel_forfaits_Cebeon[afgerond],MATCH(Tabel_forfaits[[#This Row],[Zaakcode]],Tabel_forfaits_Cebeon[Zaakcode],0))</f>
        <v>10</v>
      </c>
      <c r="F121" s="34">
        <f>IFERROR( INDEX(Tabel_kleine_n[voorstel nieuw forfait],MATCH(Tabel_forfaits[[#This Row],[Zaakcode]],Tabel_kleine_n[Kategorie],0)), 0)</f>
        <v>0</v>
      </c>
      <c r="G12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121" s="86"/>
      <c r="J121" s="51" t="s">
        <v>14</v>
      </c>
      <c r="K121" s="52" t="s">
        <v>297</v>
      </c>
      <c r="L121" s="53">
        <v>9</v>
      </c>
      <c r="M121" s="52">
        <v>10.199999999999999</v>
      </c>
      <c r="N121" s="126">
        <v>10</v>
      </c>
      <c r="P121" s="1" t="s">
        <v>14</v>
      </c>
      <c r="Q121" s="27" t="s">
        <v>297</v>
      </c>
      <c r="R121" s="27">
        <v>8</v>
      </c>
      <c r="S121" s="27">
        <v>9</v>
      </c>
      <c r="T121" s="27">
        <v>9</v>
      </c>
    </row>
    <row r="122" spans="2:20" ht="26.5" thickBot="1" x14ac:dyDescent="0.35">
      <c r="B122" s="28" t="s">
        <v>15</v>
      </c>
      <c r="C122" s="34">
        <f>INDEX(Tabel_forfaits_huidig[Afgiftedatum t/m 31-12-2021],MATCH(Tabel_forfaits[[#This Row],[Zaakcode]],Tabel_forfaits_huidig[Zaakcode],0))</f>
        <v>4</v>
      </c>
      <c r="D12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122" s="34">
        <f>INDEX(Tabel_forfaits_Cebeon[afgerond],MATCH(Tabel_forfaits[[#This Row],[Zaakcode]],Tabel_forfaits_Cebeon[Zaakcode],0))</f>
        <v>0</v>
      </c>
      <c r="F122" s="34">
        <f>IFERROR( INDEX(Tabel_kleine_n[voorstel nieuw forfait],MATCH(Tabel_forfaits[[#This Row],[Zaakcode]],Tabel_kleine_n[Kategorie],0)), 0)</f>
        <v>8</v>
      </c>
      <c r="G12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22" s="86" t="str">
        <f>$H$20</f>
        <v>kleine n</v>
      </c>
      <c r="J122" s="62" t="s">
        <v>15</v>
      </c>
      <c r="K122" s="62" t="s">
        <v>298</v>
      </c>
      <c r="L122" s="63">
        <v>8</v>
      </c>
      <c r="M122" s="62"/>
      <c r="N122" s="127"/>
      <c r="P122" s="28" t="s">
        <v>15</v>
      </c>
      <c r="Q122" s="28" t="s">
        <v>298</v>
      </c>
      <c r="R122" s="28">
        <v>4</v>
      </c>
      <c r="S122" s="28">
        <v>8</v>
      </c>
      <c r="T122" s="28">
        <v>8</v>
      </c>
    </row>
    <row r="123" spans="2:20" ht="13.5" thickBot="1" x14ac:dyDescent="0.35">
      <c r="B123" s="1" t="s">
        <v>16</v>
      </c>
      <c r="C123" s="34">
        <f>INDEX(Tabel_forfaits_huidig[Afgiftedatum t/m 31-12-2021],MATCH(Tabel_forfaits[[#This Row],[Zaakcode]],Tabel_forfaits_huidig[Zaakcode],0))</f>
        <v>8</v>
      </c>
      <c r="D12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23" s="34">
        <f>INDEX(Tabel_forfaits_Cebeon[afgerond],MATCH(Tabel_forfaits[[#This Row],[Zaakcode]],Tabel_forfaits_Cebeon[Zaakcode],0))</f>
        <v>0</v>
      </c>
      <c r="F123" s="34">
        <f>IFERROR( INDEX(Tabel_kleine_n[voorstel nieuw forfait],MATCH(Tabel_forfaits[[#This Row],[Zaakcode]],Tabel_kleine_n[Kategorie],0)), 0)</f>
        <v>11</v>
      </c>
      <c r="G12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123" s="86" t="str">
        <f>$H$20</f>
        <v>kleine n</v>
      </c>
      <c r="J123" s="58" t="s">
        <v>16</v>
      </c>
      <c r="K123" s="59" t="s">
        <v>299</v>
      </c>
      <c r="L123" s="60">
        <v>10</v>
      </c>
      <c r="M123" s="59"/>
      <c r="N123" s="126"/>
      <c r="P123" s="1" t="s">
        <v>16</v>
      </c>
      <c r="Q123" s="27" t="s">
        <v>299</v>
      </c>
      <c r="R123" s="27">
        <v>8</v>
      </c>
      <c r="S123" s="27">
        <v>10</v>
      </c>
      <c r="T123" s="27">
        <v>10</v>
      </c>
    </row>
    <row r="124" spans="2:20" ht="13.5" thickBot="1" x14ac:dyDescent="0.35">
      <c r="B124" s="1" t="str">
        <f>Tabel_forfaits_Cebeon[[#This Row],[Zaakcode]]</f>
        <v>Sociale voorzieningen</v>
      </c>
      <c r="C124" s="34"/>
      <c r="D124" s="34"/>
      <c r="E124" s="34"/>
      <c r="F124" s="34">
        <f>IFERROR( INDEX(Tabel_kleine_n[voorstel nieuw forfait],MATCH(Tabel_forfaits[[#This Row],[Zaakcode]],Tabel_kleine_n[Kategorie],0)), 0)</f>
        <v>0</v>
      </c>
      <c r="G12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24" s="86"/>
      <c r="J124" s="45" t="s">
        <v>300</v>
      </c>
      <c r="K124" s="46"/>
      <c r="L124" s="65"/>
      <c r="M124" s="46"/>
      <c r="N124" s="125"/>
      <c r="P124" s="26" t="s">
        <v>300</v>
      </c>
      <c r="Q124" s="23"/>
      <c r="R124" s="23"/>
      <c r="S124" s="23"/>
      <c r="T124" s="23"/>
    </row>
    <row r="125" spans="2:20" ht="13.5" thickBot="1" x14ac:dyDescent="0.35">
      <c r="B125" s="1" t="s">
        <v>17</v>
      </c>
      <c r="C125" s="34">
        <f>INDEX(Tabel_forfaits_huidig[Afgiftedatum t/m 31-12-2021],MATCH(Tabel_forfaits[[#This Row],[Zaakcode]],Tabel_forfaits_huidig[Zaakcode],0))</f>
        <v>8</v>
      </c>
      <c r="D12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8</v>
      </c>
      <c r="E125" s="34">
        <f>INDEX(Tabel_forfaits_Cebeon[afgerond],MATCH(Tabel_forfaits[[#This Row],[Zaakcode]],Tabel_forfaits_Cebeon[Zaakcode],0))</f>
        <v>8</v>
      </c>
      <c r="F125" s="34">
        <f>IFERROR( INDEX(Tabel_kleine_n[voorstel nieuw forfait],MATCH(Tabel_forfaits[[#This Row],[Zaakcode]],Tabel_kleine_n[Kategorie],0)), 0)</f>
        <v>0</v>
      </c>
      <c r="G12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25" s="86"/>
      <c r="J125" s="51" t="s">
        <v>17</v>
      </c>
      <c r="K125" s="52" t="s">
        <v>301</v>
      </c>
      <c r="L125" s="53">
        <v>8</v>
      </c>
      <c r="M125" s="52">
        <v>8.5</v>
      </c>
      <c r="N125" s="57">
        <v>8</v>
      </c>
      <c r="P125" s="1" t="s">
        <v>17</v>
      </c>
      <c r="Q125" s="27" t="s">
        <v>301</v>
      </c>
      <c r="R125" s="27">
        <v>8</v>
      </c>
      <c r="S125" s="27">
        <v>8</v>
      </c>
      <c r="T125" s="27">
        <v>8</v>
      </c>
    </row>
    <row r="126" spans="2:20" ht="13.5" thickBot="1" x14ac:dyDescent="0.35">
      <c r="B126" s="1" t="s">
        <v>18</v>
      </c>
      <c r="C126" s="34">
        <f>INDEX(Tabel_forfaits_huidig[Afgiftedatum t/m 31-12-2021],MATCH(Tabel_forfaits[[#This Row],[Zaakcode]],Tabel_forfaits_huidig[Zaakcode],0))</f>
        <v>8</v>
      </c>
      <c r="D12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26" s="34">
        <f>INDEX(Tabel_forfaits_Cebeon[afgerond],MATCH(Tabel_forfaits[[#This Row],[Zaakcode]],Tabel_forfaits_Cebeon[Zaakcode],0))</f>
        <v>0</v>
      </c>
      <c r="F126" s="34">
        <f>IFERROR( INDEX(Tabel_kleine_n[voorstel nieuw forfait],MATCH(Tabel_forfaits[[#This Row],[Zaakcode]],Tabel_kleine_n[Kategorie],0)), 0)</f>
        <v>11</v>
      </c>
      <c r="G12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126" s="86" t="str">
        <f>$H$20</f>
        <v>kleine n</v>
      </c>
      <c r="J126" s="61" t="s">
        <v>18</v>
      </c>
      <c r="K126" s="62" t="s">
        <v>302</v>
      </c>
      <c r="L126" s="63">
        <v>10</v>
      </c>
      <c r="M126" s="62"/>
      <c r="N126" s="127"/>
      <c r="P126" s="1" t="s">
        <v>18</v>
      </c>
      <c r="Q126" s="28" t="s">
        <v>302</v>
      </c>
      <c r="R126" s="28">
        <v>8</v>
      </c>
      <c r="S126" s="28">
        <v>10</v>
      </c>
      <c r="T126" s="28">
        <v>10</v>
      </c>
    </row>
    <row r="127" spans="2:20" ht="13.5" thickBot="1" x14ac:dyDescent="0.35">
      <c r="B127" s="1" t="s">
        <v>19</v>
      </c>
      <c r="C127" s="34">
        <f>INDEX(Tabel_forfaits_huidig[Afgiftedatum t/m 31-12-2021],MATCH(Tabel_forfaits[[#This Row],[Zaakcode]],Tabel_forfaits_huidig[Zaakcode],0))</f>
        <v>11</v>
      </c>
      <c r="D12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127" s="34">
        <f>INDEX(Tabel_forfaits_Cebeon[afgerond],MATCH(Tabel_forfaits[[#This Row],[Zaakcode]],Tabel_forfaits_Cebeon[Zaakcode],0))</f>
        <v>0</v>
      </c>
      <c r="F127" s="34">
        <f>IFERROR( INDEX(Tabel_kleine_n[voorstel nieuw forfait],MATCH(Tabel_forfaits[[#This Row],[Zaakcode]],Tabel_kleine_n[Kategorie],0)), 0)</f>
        <v>15</v>
      </c>
      <c r="G12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15</v>
      </c>
      <c r="H127" s="86" t="str">
        <f>$H$20</f>
        <v>kleine n</v>
      </c>
      <c r="J127" s="58" t="s">
        <v>19</v>
      </c>
      <c r="K127" s="59" t="s">
        <v>303</v>
      </c>
      <c r="L127" s="60">
        <v>15</v>
      </c>
      <c r="M127" s="59"/>
      <c r="N127" s="126"/>
      <c r="P127" s="1" t="s">
        <v>19</v>
      </c>
      <c r="Q127" s="27" t="s">
        <v>303</v>
      </c>
      <c r="R127" s="27">
        <v>11</v>
      </c>
      <c r="S127" s="27">
        <v>15</v>
      </c>
      <c r="T127" s="27">
        <v>15</v>
      </c>
    </row>
    <row r="128" spans="2:20" ht="13.5" thickBot="1" x14ac:dyDescent="0.35">
      <c r="B128" s="1" t="s">
        <v>20</v>
      </c>
      <c r="C128" s="34">
        <f>INDEX(Tabel_forfaits_huidig[Afgiftedatum t/m 31-12-2021],MATCH(Tabel_forfaits[[#This Row],[Zaakcode]],Tabel_forfaits_huidig[Zaakcode],0))</f>
        <v>8</v>
      </c>
      <c r="D12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28" s="34">
        <f>INDEX(Tabel_forfaits_Cebeon[afgerond],MATCH(Tabel_forfaits[[#This Row],[Zaakcode]],Tabel_forfaits_Cebeon[Zaakcode],0))</f>
        <v>9</v>
      </c>
      <c r="F128" s="34">
        <f>IFERROR( INDEX(Tabel_kleine_n[voorstel nieuw forfait],MATCH(Tabel_forfaits[[#This Row],[Zaakcode]],Tabel_kleine_n[Kategorie],0)), 0)</f>
        <v>0</v>
      </c>
      <c r="G12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28" s="86"/>
      <c r="J128" s="54" t="s">
        <v>20</v>
      </c>
      <c r="K128" s="55" t="s">
        <v>304</v>
      </c>
      <c r="L128" s="56">
        <v>9</v>
      </c>
      <c r="M128" s="67">
        <v>9</v>
      </c>
      <c r="N128" s="127">
        <v>9</v>
      </c>
      <c r="P128" s="1" t="s">
        <v>20</v>
      </c>
      <c r="Q128" s="28" t="s">
        <v>304</v>
      </c>
      <c r="R128" s="28">
        <v>8</v>
      </c>
      <c r="S128" s="28">
        <v>9</v>
      </c>
      <c r="T128" s="28">
        <v>9</v>
      </c>
    </row>
    <row r="129" spans="2:20" ht="13.5" thickBot="1" x14ac:dyDescent="0.35">
      <c r="B129" s="1" t="s">
        <v>21</v>
      </c>
      <c r="C129" s="34">
        <f>INDEX(Tabel_forfaits_huidig[Afgiftedatum t/m 31-12-2021],MATCH(Tabel_forfaits[[#This Row],[Zaakcode]],Tabel_forfaits_huidig[Zaakcode],0))</f>
        <v>8</v>
      </c>
      <c r="D12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29" s="34">
        <f>INDEX(Tabel_forfaits_Cebeon[afgerond],MATCH(Tabel_forfaits[[#This Row],[Zaakcode]],Tabel_forfaits_Cebeon[Zaakcode],0))</f>
        <v>11</v>
      </c>
      <c r="F129" s="34">
        <f>IFERROR( INDEX(Tabel_kleine_n[voorstel nieuw forfait],MATCH(Tabel_forfaits[[#This Row],[Zaakcode]],Tabel_kleine_n[Kategorie],0)), 0)</f>
        <v>0</v>
      </c>
      <c r="G12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129" s="86"/>
      <c r="J129" s="51" t="s">
        <v>21</v>
      </c>
      <c r="K129" s="52" t="s">
        <v>305</v>
      </c>
      <c r="L129" s="53">
        <v>10</v>
      </c>
      <c r="M129" s="306">
        <v>11.5</v>
      </c>
      <c r="N129" s="57">
        <v>11</v>
      </c>
      <c r="P129" s="1" t="s">
        <v>21</v>
      </c>
      <c r="Q129" s="27" t="s">
        <v>305</v>
      </c>
      <c r="R129" s="27">
        <v>8</v>
      </c>
      <c r="S129" s="27">
        <v>10</v>
      </c>
      <c r="T129" s="27">
        <v>10</v>
      </c>
    </row>
    <row r="130" spans="2:20" ht="13.5" thickBot="1" x14ac:dyDescent="0.35">
      <c r="B130" s="1" t="str">
        <f>Tabel_forfaits_Cebeon[[#This Row],[Zaakcode]]</f>
        <v>Sociale verzekeringen</v>
      </c>
      <c r="C130" s="34"/>
      <c r="D130" s="34"/>
      <c r="E130" s="34"/>
      <c r="F130" s="34">
        <f>IFERROR( INDEX(Tabel_kleine_n[voorstel nieuw forfait],MATCH(Tabel_forfaits[[#This Row],[Zaakcode]],Tabel_kleine_n[Kategorie],0)), 0)</f>
        <v>0</v>
      </c>
      <c r="G13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30" s="86"/>
      <c r="J130" s="45" t="s">
        <v>306</v>
      </c>
      <c r="K130" s="46"/>
      <c r="L130" s="65"/>
      <c r="M130" s="46"/>
      <c r="N130" s="125"/>
      <c r="P130" s="26" t="s">
        <v>306</v>
      </c>
      <c r="Q130" s="23"/>
      <c r="R130" s="23"/>
      <c r="S130" s="23"/>
      <c r="T130" s="23"/>
    </row>
    <row r="131" spans="2:20" ht="13.5" thickBot="1" x14ac:dyDescent="0.35">
      <c r="B131" s="1" t="s">
        <v>22</v>
      </c>
      <c r="C131" s="34">
        <f>INDEX(Tabel_forfaits_huidig[Afgiftedatum t/m 31-12-2021],MATCH(Tabel_forfaits[[#This Row],[Zaakcode]],Tabel_forfaits_huidig[Zaakcode],0))</f>
        <v>8</v>
      </c>
      <c r="D13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31" s="34">
        <f>INDEX(Tabel_forfaits_Cebeon[afgerond],MATCH(Tabel_forfaits[[#This Row],[Zaakcode]],Tabel_forfaits_Cebeon[Zaakcode],0))</f>
        <v>8</v>
      </c>
      <c r="F131" s="34">
        <f>IFERROR( INDEX(Tabel_kleine_n[voorstel nieuw forfait],MATCH(Tabel_forfaits[[#This Row],[Zaakcode]],Tabel_kleine_n[Kategorie],0)), 0)</f>
        <v>0</v>
      </c>
      <c r="G13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31" s="86"/>
      <c r="J131" s="51" t="s">
        <v>22</v>
      </c>
      <c r="K131" s="52" t="s">
        <v>307</v>
      </c>
      <c r="L131" s="53">
        <v>9</v>
      </c>
      <c r="M131" s="52">
        <v>7.8</v>
      </c>
      <c r="N131" s="126">
        <v>8</v>
      </c>
      <c r="P131" s="1" t="s">
        <v>22</v>
      </c>
      <c r="Q131" s="27" t="s">
        <v>307</v>
      </c>
      <c r="R131" s="27">
        <v>8</v>
      </c>
      <c r="S131" s="27">
        <v>9</v>
      </c>
      <c r="T131" s="27">
        <v>9</v>
      </c>
    </row>
    <row r="132" spans="2:20" ht="13.5" thickBot="1" x14ac:dyDescent="0.35">
      <c r="B132" s="1" t="s">
        <v>23</v>
      </c>
      <c r="C132" s="34">
        <f>INDEX(Tabel_forfaits_huidig[Afgiftedatum t/m 31-12-2021],MATCH(Tabel_forfaits[[#This Row],[Zaakcode]],Tabel_forfaits_huidig[Zaakcode],0))</f>
        <v>8</v>
      </c>
      <c r="D13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32" s="34">
        <f>INDEX(Tabel_forfaits_Cebeon[afgerond],MATCH(Tabel_forfaits[[#This Row],[Zaakcode]],Tabel_forfaits_Cebeon[Zaakcode],0))</f>
        <v>9</v>
      </c>
      <c r="F132" s="34">
        <f>IFERROR( INDEX(Tabel_kleine_n[voorstel nieuw forfait],MATCH(Tabel_forfaits[[#This Row],[Zaakcode]],Tabel_kleine_n[Kategorie],0)), 0)</f>
        <v>0</v>
      </c>
      <c r="G13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32" s="86"/>
      <c r="J132" s="54" t="s">
        <v>23</v>
      </c>
      <c r="K132" s="55" t="s">
        <v>308</v>
      </c>
      <c r="L132" s="56">
        <v>10</v>
      </c>
      <c r="M132" s="55">
        <v>9.4</v>
      </c>
      <c r="N132" s="127">
        <v>9</v>
      </c>
      <c r="P132" s="1" t="s">
        <v>23</v>
      </c>
      <c r="Q132" s="28" t="s">
        <v>308</v>
      </c>
      <c r="R132" s="28">
        <v>8</v>
      </c>
      <c r="S132" s="28">
        <v>10</v>
      </c>
      <c r="T132" s="28">
        <v>10</v>
      </c>
    </row>
    <row r="133" spans="2:20" ht="13.5" thickBot="1" x14ac:dyDescent="0.35">
      <c r="B133" s="1" t="s">
        <v>24</v>
      </c>
      <c r="C133" s="34">
        <f>INDEX(Tabel_forfaits_huidig[Afgiftedatum t/m 31-12-2021],MATCH(Tabel_forfaits[[#This Row],[Zaakcode]],Tabel_forfaits_huidig[Zaakcode],0))</f>
        <v>8</v>
      </c>
      <c r="D13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33" s="34">
        <f>INDEX(Tabel_forfaits_Cebeon[afgerond],MATCH(Tabel_forfaits[[#This Row],[Zaakcode]],Tabel_forfaits_Cebeon[Zaakcode],0))</f>
        <v>9</v>
      </c>
      <c r="F133" s="34">
        <f>IFERROR( INDEX(Tabel_kleine_n[voorstel nieuw forfait],MATCH(Tabel_forfaits[[#This Row],[Zaakcode]],Tabel_kleine_n[Kategorie],0)), 0)</f>
        <v>0</v>
      </c>
      <c r="G13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33" s="86"/>
      <c r="J133" s="51" t="s">
        <v>24</v>
      </c>
      <c r="K133" s="52" t="s">
        <v>309</v>
      </c>
      <c r="L133" s="53">
        <v>10</v>
      </c>
      <c r="M133" s="52">
        <v>9.1999999999999993</v>
      </c>
      <c r="N133" s="126">
        <v>9</v>
      </c>
      <c r="P133" s="1" t="s">
        <v>24</v>
      </c>
      <c r="Q133" s="27" t="s">
        <v>309</v>
      </c>
      <c r="R133" s="27">
        <v>8</v>
      </c>
      <c r="S133" s="27">
        <v>10</v>
      </c>
      <c r="T133" s="27">
        <v>10</v>
      </c>
    </row>
    <row r="134" spans="2:20" ht="13.5" thickBot="1" x14ac:dyDescent="0.35">
      <c r="B134" s="1" t="s">
        <v>25</v>
      </c>
      <c r="C134" s="34">
        <f>INDEX(Tabel_forfaits_huidig[Afgiftedatum t/m 31-12-2021],MATCH(Tabel_forfaits[[#This Row],[Zaakcode]],Tabel_forfaits_huidig[Zaakcode],0))</f>
        <v>8</v>
      </c>
      <c r="D13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34" s="34">
        <f>INDEX(Tabel_forfaits_Cebeon[afgerond],MATCH(Tabel_forfaits[[#This Row],[Zaakcode]],Tabel_forfaits_Cebeon[Zaakcode],0))</f>
        <v>0</v>
      </c>
      <c r="F134" s="34">
        <f>IFERROR( INDEX(Tabel_kleine_n[voorstel nieuw forfait],MATCH(Tabel_forfaits[[#This Row],[Zaakcode]],Tabel_kleine_n[Kategorie],0)), 0)</f>
        <v>9</v>
      </c>
      <c r="G13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34" s="86" t="str">
        <f>$H$20</f>
        <v>kleine n</v>
      </c>
      <c r="J134" s="61" t="s">
        <v>25</v>
      </c>
      <c r="K134" s="62" t="s">
        <v>310</v>
      </c>
      <c r="L134" s="63">
        <v>9</v>
      </c>
      <c r="M134" s="62"/>
      <c r="N134" s="127"/>
      <c r="P134" s="1" t="s">
        <v>25</v>
      </c>
      <c r="Q134" s="28" t="s">
        <v>310</v>
      </c>
      <c r="R134" s="28">
        <v>8</v>
      </c>
      <c r="S134" s="28">
        <v>9</v>
      </c>
      <c r="T134" s="28">
        <v>9</v>
      </c>
    </row>
    <row r="135" spans="2:20" ht="13.5" thickBot="1" x14ac:dyDescent="0.35">
      <c r="B135" s="1" t="str">
        <f>Tabel_forfaits_Cebeon[[#This Row],[Zaakcode]]</f>
        <v>Erfrecht</v>
      </c>
      <c r="C135" s="34"/>
      <c r="D135" s="34"/>
      <c r="E135" s="34"/>
      <c r="F135" s="34">
        <f>IFERROR( INDEX(Tabel_kleine_n[voorstel nieuw forfait],MATCH(Tabel_forfaits[[#This Row],[Zaakcode]],Tabel_kleine_n[Kategorie],0)), 0)</f>
        <v>0</v>
      </c>
      <c r="G13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35" s="86"/>
      <c r="J135" s="73" t="s">
        <v>311</v>
      </c>
      <c r="K135" s="44"/>
      <c r="L135" s="74"/>
      <c r="M135" s="44"/>
      <c r="N135" s="128"/>
      <c r="P135" s="29" t="s">
        <v>311</v>
      </c>
      <c r="Q135" s="30"/>
      <c r="R135" s="30"/>
      <c r="S135" s="30"/>
      <c r="T135" s="30"/>
    </row>
    <row r="136" spans="2:20" ht="13.5" thickBot="1" x14ac:dyDescent="0.35">
      <c r="B136" s="1" t="s">
        <v>26</v>
      </c>
      <c r="C136" s="34">
        <f>INDEX(Tabel_forfaits_huidig[Afgiftedatum t/m 31-12-2021],MATCH(Tabel_forfaits[[#This Row],[Zaakcode]],Tabel_forfaits_huidig[Zaakcode],0))</f>
        <v>12</v>
      </c>
      <c r="D13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25</v>
      </c>
      <c r="E136" s="34">
        <f>INDEX(Tabel_forfaits_Cebeon[afgerond],MATCH(Tabel_forfaits[[#This Row],[Zaakcode]],Tabel_forfaits_Cebeon[Zaakcode],0))</f>
        <v>18</v>
      </c>
      <c r="F136" s="34">
        <f>IFERROR( INDEX(Tabel_kleine_n[voorstel nieuw forfait],MATCH(Tabel_forfaits[[#This Row],[Zaakcode]],Tabel_kleine_n[Kategorie],0)), 0)</f>
        <v>25</v>
      </c>
      <c r="G13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25</v>
      </c>
      <c r="H136" s="86" t="str">
        <f>$H$20</f>
        <v>kleine n</v>
      </c>
      <c r="J136" s="54" t="s">
        <v>26</v>
      </c>
      <c r="K136" s="55" t="s">
        <v>312</v>
      </c>
      <c r="L136" s="56">
        <v>25</v>
      </c>
      <c r="M136" s="55">
        <v>17.899999999999999</v>
      </c>
      <c r="N136" s="127">
        <v>18</v>
      </c>
      <c r="P136" s="1" t="s">
        <v>26</v>
      </c>
      <c r="Q136" s="28" t="s">
        <v>312</v>
      </c>
      <c r="R136" s="28">
        <v>12</v>
      </c>
      <c r="S136" s="28">
        <v>25</v>
      </c>
      <c r="T136" s="28">
        <v>25</v>
      </c>
    </row>
    <row r="137" spans="2:20" ht="13.5" thickBot="1" x14ac:dyDescent="0.35">
      <c r="B137" s="1" t="str">
        <f>Tabel_forfaits_Cebeon[[#This Row],[Zaakcode]]</f>
        <v>Belastingrecht</v>
      </c>
      <c r="C137" s="34"/>
      <c r="D137" s="34"/>
      <c r="E137" s="34"/>
      <c r="F137" s="34">
        <f>IFERROR( INDEX(Tabel_kleine_n[voorstel nieuw forfait],MATCH(Tabel_forfaits[[#This Row],[Zaakcode]],Tabel_kleine_n[Kategorie],0)), 0)</f>
        <v>0</v>
      </c>
      <c r="G13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37" s="86"/>
      <c r="J137" s="73" t="s">
        <v>313</v>
      </c>
      <c r="K137" s="44"/>
      <c r="L137" s="74"/>
      <c r="M137" s="44"/>
      <c r="N137" s="128"/>
      <c r="P137" s="29" t="s">
        <v>313</v>
      </c>
      <c r="Q137" s="30"/>
      <c r="R137" s="30"/>
      <c r="S137" s="30"/>
      <c r="T137" s="30"/>
    </row>
    <row r="138" spans="2:20" ht="13.5" thickBot="1" x14ac:dyDescent="0.35">
      <c r="B138" s="1" t="s">
        <v>27</v>
      </c>
      <c r="C138" s="34">
        <f>INDEX(Tabel_forfaits_huidig[Afgiftedatum t/m 31-12-2021],MATCH(Tabel_forfaits[[#This Row],[Zaakcode]],Tabel_forfaits_huidig[Zaakcode],0))</f>
        <v>8</v>
      </c>
      <c r="D13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38" s="34">
        <f>INDEX(Tabel_forfaits_Cebeon[afgerond],MATCH(Tabel_forfaits[[#This Row],[Zaakcode]],Tabel_forfaits_Cebeon[Zaakcode],0))</f>
        <v>0</v>
      </c>
      <c r="F138" s="34">
        <f>IFERROR( INDEX(Tabel_kleine_n[voorstel nieuw forfait],MATCH(Tabel_forfaits[[#This Row],[Zaakcode]],Tabel_kleine_n[Kategorie],0)), 0)</f>
        <v>9</v>
      </c>
      <c r="G13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9</v>
      </c>
      <c r="H138" s="86" t="str">
        <f>$H$20</f>
        <v>kleine n</v>
      </c>
      <c r="J138" s="61" t="s">
        <v>27</v>
      </c>
      <c r="K138" s="62" t="s">
        <v>313</v>
      </c>
      <c r="L138" s="63">
        <v>9</v>
      </c>
      <c r="M138" s="62"/>
      <c r="N138" s="127"/>
      <c r="P138" s="1" t="s">
        <v>27</v>
      </c>
      <c r="Q138" s="28" t="s">
        <v>313</v>
      </c>
      <c r="R138" s="28">
        <v>8</v>
      </c>
      <c r="S138" s="28">
        <v>9</v>
      </c>
      <c r="T138" s="28">
        <v>9</v>
      </c>
    </row>
    <row r="139" spans="2:20" ht="13.5" thickBot="1" x14ac:dyDescent="0.35">
      <c r="B139" s="1" t="str">
        <f>Tabel_forfaits_Cebeon[[#This Row],[Zaakcode]]</f>
        <v>Goederenrecht</v>
      </c>
      <c r="C139" s="34"/>
      <c r="D139" s="34"/>
      <c r="E139" s="34"/>
      <c r="F139" s="34">
        <f>IFERROR( INDEX(Tabel_kleine_n[voorstel nieuw forfait],MATCH(Tabel_forfaits[[#This Row],[Zaakcode]],Tabel_kleine_n[Kategorie],0)), 0)</f>
        <v>0</v>
      </c>
      <c r="G13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39" s="86"/>
      <c r="J139" s="73" t="s">
        <v>314</v>
      </c>
      <c r="K139" s="44"/>
      <c r="L139" s="74"/>
      <c r="M139" s="44"/>
      <c r="N139" s="128"/>
      <c r="P139" s="29" t="s">
        <v>314</v>
      </c>
      <c r="Q139" s="30"/>
      <c r="R139" s="30"/>
      <c r="S139" s="30"/>
      <c r="T139" s="30"/>
    </row>
    <row r="140" spans="2:20" ht="13.5" thickBot="1" x14ac:dyDescent="0.35">
      <c r="B140" s="1" t="s">
        <v>28</v>
      </c>
      <c r="C140" s="34">
        <f>INDEX(Tabel_forfaits_huidig[Afgiftedatum t/m 31-12-2021],MATCH(Tabel_forfaits[[#This Row],[Zaakcode]],Tabel_forfaits_huidig[Zaakcode],0))</f>
        <v>12</v>
      </c>
      <c r="D14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21</v>
      </c>
      <c r="E140" s="34">
        <f>INDEX(Tabel_forfaits_Cebeon[afgerond],MATCH(Tabel_forfaits[[#This Row],[Zaakcode]],Tabel_forfaits_Cebeon[Zaakcode],0))</f>
        <v>0</v>
      </c>
      <c r="F140" s="34">
        <f>IFERROR( INDEX(Tabel_kleine_n[voorstel nieuw forfait],MATCH(Tabel_forfaits[[#This Row],[Zaakcode]],Tabel_kleine_n[Kategorie],0)), 0)</f>
        <v>21</v>
      </c>
      <c r="G14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21</v>
      </c>
      <c r="H140" s="86" t="str">
        <f>$H$20</f>
        <v>kleine n</v>
      </c>
      <c r="J140" s="61" t="s">
        <v>28</v>
      </c>
      <c r="K140" s="62" t="s">
        <v>314</v>
      </c>
      <c r="L140" s="63">
        <v>21</v>
      </c>
      <c r="M140" s="62"/>
      <c r="N140" s="127"/>
      <c r="P140" s="1" t="s">
        <v>28</v>
      </c>
      <c r="Q140" s="28" t="s">
        <v>314</v>
      </c>
      <c r="R140" s="28">
        <v>12</v>
      </c>
      <c r="S140" s="28">
        <v>21</v>
      </c>
      <c r="T140" s="28">
        <v>21</v>
      </c>
    </row>
    <row r="141" spans="2:20" ht="13.5" thickBot="1" x14ac:dyDescent="0.35">
      <c r="B141" s="1" t="str">
        <f>Tabel_forfaits_Cebeon[[#This Row],[Zaakcode]]</f>
        <v>Huurrecht</v>
      </c>
      <c r="C141" s="34"/>
      <c r="D141" s="34"/>
      <c r="E141" s="34"/>
      <c r="F141" s="34">
        <f>IFERROR( INDEX(Tabel_kleine_n[voorstel nieuw forfait],MATCH(Tabel_forfaits[[#This Row],[Zaakcode]],Tabel_kleine_n[Kategorie],0)), 0)</f>
        <v>0</v>
      </c>
      <c r="G14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41" s="86"/>
      <c r="J141" s="73" t="s">
        <v>315</v>
      </c>
      <c r="K141" s="44"/>
      <c r="L141" s="74"/>
      <c r="M141" s="44"/>
      <c r="N141" s="128"/>
      <c r="P141" s="29" t="s">
        <v>315</v>
      </c>
      <c r="Q141" s="30"/>
      <c r="R141" s="30"/>
      <c r="S141" s="30"/>
      <c r="T141" s="30"/>
    </row>
    <row r="142" spans="2:20" ht="13.5" thickBot="1" x14ac:dyDescent="0.35">
      <c r="B142" s="1" t="s">
        <v>29</v>
      </c>
      <c r="C142" s="34">
        <f>INDEX(Tabel_forfaits_huidig[Afgiftedatum t/m 31-12-2021],MATCH(Tabel_forfaits[[#This Row],[Zaakcode]],Tabel_forfaits_huidig[Zaakcode],0))</f>
        <v>9</v>
      </c>
      <c r="D14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142" s="34">
        <f>INDEX(Tabel_forfaits_Cebeon[afgerond],MATCH(Tabel_forfaits[[#This Row],[Zaakcode]],Tabel_forfaits_Cebeon[Zaakcode],0))</f>
        <v>16</v>
      </c>
      <c r="F142" s="34">
        <f>IFERROR( INDEX(Tabel_kleine_n[voorstel nieuw forfait],MATCH(Tabel_forfaits[[#This Row],[Zaakcode]],Tabel_kleine_n[Kategorie],0)), 0)</f>
        <v>0</v>
      </c>
      <c r="G14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16</v>
      </c>
      <c r="H142" s="86"/>
      <c r="J142" s="54" t="s">
        <v>29</v>
      </c>
      <c r="K142" s="55" t="s">
        <v>316</v>
      </c>
      <c r="L142" s="56">
        <v>15</v>
      </c>
      <c r="M142" s="55">
        <v>16</v>
      </c>
      <c r="N142" s="127">
        <v>16</v>
      </c>
      <c r="P142" s="1" t="s">
        <v>29</v>
      </c>
      <c r="Q142" s="28" t="s">
        <v>316</v>
      </c>
      <c r="R142" s="28">
        <v>9</v>
      </c>
      <c r="S142" s="28">
        <v>15</v>
      </c>
      <c r="T142" s="28">
        <v>15</v>
      </c>
    </row>
    <row r="143" spans="2:20" ht="13.5" thickBot="1" x14ac:dyDescent="0.35">
      <c r="B143" s="1" t="s">
        <v>30</v>
      </c>
      <c r="C143" s="34">
        <f>INDEX(Tabel_forfaits_huidig[Afgiftedatum t/m 31-12-2021],MATCH(Tabel_forfaits[[#This Row],[Zaakcode]],Tabel_forfaits_huidig[Zaakcode],0))</f>
        <v>12</v>
      </c>
      <c r="D143"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22</v>
      </c>
      <c r="E143" s="34">
        <f>INDEX(Tabel_forfaits_Cebeon[afgerond],MATCH(Tabel_forfaits[[#This Row],[Zaakcode]],Tabel_forfaits_Cebeon[Zaakcode],0))</f>
        <v>22</v>
      </c>
      <c r="F143" s="34">
        <f>IFERROR( INDEX(Tabel_kleine_n[voorstel nieuw forfait],MATCH(Tabel_forfaits[[#This Row],[Zaakcode]],Tabel_kleine_n[Kategorie],0)), 0)</f>
        <v>0</v>
      </c>
      <c r="G14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22</v>
      </c>
      <c r="H143" s="86"/>
      <c r="J143" s="51" t="s">
        <v>30</v>
      </c>
      <c r="K143" s="52" t="s">
        <v>317</v>
      </c>
      <c r="L143" s="53">
        <v>22</v>
      </c>
      <c r="M143" s="52">
        <v>21.8</v>
      </c>
      <c r="N143" s="126">
        <v>22</v>
      </c>
      <c r="P143" s="1" t="s">
        <v>30</v>
      </c>
      <c r="Q143" s="27" t="s">
        <v>317</v>
      </c>
      <c r="R143" s="27">
        <v>12</v>
      </c>
      <c r="S143" s="27">
        <v>22</v>
      </c>
      <c r="T143" s="27">
        <v>22</v>
      </c>
    </row>
    <row r="144" spans="2:20" ht="13.5" thickBot="1" x14ac:dyDescent="0.35">
      <c r="B144" s="1" t="s">
        <v>31</v>
      </c>
      <c r="C144" s="34">
        <f>INDEX(Tabel_forfaits_huidig[Afgiftedatum t/m 31-12-2021],MATCH(Tabel_forfaits[[#This Row],[Zaakcode]],Tabel_forfaits_huidig[Zaakcode],0))</f>
        <v>5</v>
      </c>
      <c r="D14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144" s="34">
        <f>INDEX(Tabel_forfaits_Cebeon[afgerond],MATCH(Tabel_forfaits[[#This Row],[Zaakcode]],Tabel_forfaits_Cebeon[Zaakcode],0))</f>
        <v>18</v>
      </c>
      <c r="F144" s="34">
        <f>IFERROR( INDEX(Tabel_kleine_n[voorstel nieuw forfait],MATCH(Tabel_forfaits[[#This Row],[Zaakcode]],Tabel_kleine_n[Kategorie],0)), 0)</f>
        <v>18</v>
      </c>
      <c r="G14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18</v>
      </c>
      <c r="H144" s="86" t="str">
        <f>$H$20</f>
        <v>kleine n</v>
      </c>
      <c r="J144" s="61" t="s">
        <v>31</v>
      </c>
      <c r="K144" s="62" t="s">
        <v>318</v>
      </c>
      <c r="L144" s="63">
        <v>15</v>
      </c>
      <c r="M144" s="62"/>
      <c r="N144" s="305">
        <v>18</v>
      </c>
      <c r="P144" s="1" t="s">
        <v>31</v>
      </c>
      <c r="Q144" s="28" t="s">
        <v>318</v>
      </c>
      <c r="R144" s="28">
        <v>5</v>
      </c>
      <c r="S144" s="28">
        <v>15</v>
      </c>
      <c r="T144" s="28">
        <v>15</v>
      </c>
    </row>
    <row r="145" spans="2:20" ht="13.5" thickBot="1" x14ac:dyDescent="0.35">
      <c r="B145" s="1" t="s">
        <v>32</v>
      </c>
      <c r="C145" s="34">
        <f>INDEX(Tabel_forfaits_huidig[Afgiftedatum t/m 31-12-2021],MATCH(Tabel_forfaits[[#This Row],[Zaakcode]],Tabel_forfaits_huidig[Zaakcode],0))</f>
        <v>9</v>
      </c>
      <c r="D14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145" s="34">
        <f>INDEX(Tabel_forfaits_Cebeon[afgerond],MATCH(Tabel_forfaits[[#This Row],[Zaakcode]],Tabel_forfaits_Cebeon[Zaakcode],0))</f>
        <v>18</v>
      </c>
      <c r="F145" s="34">
        <f>IFERROR( INDEX(Tabel_kleine_n[voorstel nieuw forfait],MATCH(Tabel_forfaits[[#This Row],[Zaakcode]],Tabel_kleine_n[Kategorie],0)), 0)</f>
        <v>0</v>
      </c>
      <c r="G14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18</v>
      </c>
      <c r="H145" s="86"/>
      <c r="J145" s="51" t="s">
        <v>32</v>
      </c>
      <c r="K145" s="52" t="s">
        <v>319</v>
      </c>
      <c r="L145" s="53">
        <v>15</v>
      </c>
      <c r="M145" s="52">
        <v>17.8</v>
      </c>
      <c r="N145" s="57">
        <v>18</v>
      </c>
      <c r="P145" s="1" t="s">
        <v>32</v>
      </c>
      <c r="Q145" s="27" t="s">
        <v>319</v>
      </c>
      <c r="R145" s="27">
        <v>9</v>
      </c>
      <c r="S145" s="27">
        <v>15</v>
      </c>
      <c r="T145" s="27">
        <v>15</v>
      </c>
    </row>
    <row r="146" spans="2:20" ht="13.5" thickBot="1" x14ac:dyDescent="0.35">
      <c r="B146" s="1" t="s">
        <v>33</v>
      </c>
      <c r="C146" s="34">
        <f>INDEX(Tabel_forfaits_huidig[Afgiftedatum t/m 31-12-2021],MATCH(Tabel_forfaits[[#This Row],[Zaakcode]],Tabel_forfaits_huidig[Zaakcode],0))</f>
        <v>9</v>
      </c>
      <c r="D14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19</v>
      </c>
      <c r="E146" s="34">
        <f>INDEX(Tabel_forfaits_Cebeon[afgerond],MATCH(Tabel_forfaits[[#This Row],[Zaakcode]],Tabel_forfaits_Cebeon[Zaakcode],0))</f>
        <v>0</v>
      </c>
      <c r="F146" s="34">
        <f>IFERROR( INDEX(Tabel_kleine_n[voorstel nieuw forfait],MATCH(Tabel_forfaits[[#This Row],[Zaakcode]],Tabel_kleine_n[Kategorie],0)), 0)</f>
        <v>19</v>
      </c>
      <c r="G14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19</v>
      </c>
      <c r="H146" s="86" t="str">
        <f>$H$20</f>
        <v>kleine n</v>
      </c>
      <c r="J146" s="61" t="s">
        <v>33</v>
      </c>
      <c r="K146" s="62" t="s">
        <v>320</v>
      </c>
      <c r="L146" s="63">
        <v>19</v>
      </c>
      <c r="M146" s="62"/>
      <c r="N146" s="127"/>
      <c r="P146" s="1" t="s">
        <v>33</v>
      </c>
      <c r="Q146" s="28" t="s">
        <v>320</v>
      </c>
      <c r="R146" s="28">
        <v>9</v>
      </c>
      <c r="S146" s="28">
        <v>19</v>
      </c>
      <c r="T146" s="28">
        <v>19</v>
      </c>
    </row>
    <row r="147" spans="2:20" ht="13.5" thickBot="1" x14ac:dyDescent="0.35">
      <c r="B147" s="1" t="str">
        <f>Tabel_forfaits_Cebeon[[#This Row],[Zaakcode]]</f>
        <v>Woonrecht</v>
      </c>
      <c r="C147" s="34"/>
      <c r="D147" s="34"/>
      <c r="E147" s="34"/>
      <c r="F147" s="34">
        <f>IFERROR( INDEX(Tabel_kleine_n[voorstel nieuw forfait],MATCH(Tabel_forfaits[[#This Row],[Zaakcode]],Tabel_kleine_n[Kategorie],0)), 0)</f>
        <v>0</v>
      </c>
      <c r="G14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47" s="86"/>
      <c r="J147" s="73" t="s">
        <v>321</v>
      </c>
      <c r="K147" s="44"/>
      <c r="L147" s="74"/>
      <c r="M147" s="44"/>
      <c r="N147" s="128"/>
      <c r="P147" s="29" t="s">
        <v>321</v>
      </c>
      <c r="Q147" s="30"/>
      <c r="R147" s="30"/>
      <c r="S147" s="30"/>
      <c r="T147" s="30"/>
    </row>
    <row r="148" spans="2:20" ht="13.5" thickBot="1" x14ac:dyDescent="0.35">
      <c r="B148" s="1" t="s">
        <v>124</v>
      </c>
      <c r="C148" s="34">
        <f>INDEX(Tabel_forfaits_huidig[Afgiftedatum t/m 31-12-2021],MATCH(Tabel_forfaits[[#This Row],[Zaakcode]],Tabel_forfaits_huidig[Zaakcode],0))</f>
        <v>8</v>
      </c>
      <c r="D14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12</v>
      </c>
      <c r="E148" s="34">
        <f>INDEX(Tabel_forfaits_Cebeon[afgerond],MATCH(Tabel_forfaits[[#This Row],[Zaakcode]],Tabel_forfaits_Cebeon[Zaakcode],0))</f>
        <v>14</v>
      </c>
      <c r="F148" s="34">
        <f>IFERROR( INDEX(Tabel_kleine_n[voorstel nieuw forfait],MATCH(Tabel_forfaits[[#This Row],[Zaakcode]],Tabel_kleine_n[Kategorie],0)), 0)</f>
        <v>0</v>
      </c>
      <c r="G14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14</v>
      </c>
      <c r="H148" s="86"/>
      <c r="J148" s="54" t="s">
        <v>124</v>
      </c>
      <c r="K148" s="55" t="s">
        <v>321</v>
      </c>
      <c r="L148" s="56">
        <v>12</v>
      </c>
      <c r="M148" s="55">
        <v>13.6</v>
      </c>
      <c r="N148" s="127">
        <v>14</v>
      </c>
      <c r="P148" s="1" t="s">
        <v>124</v>
      </c>
      <c r="Q148" s="28" t="s">
        <v>321</v>
      </c>
      <c r="R148" s="28">
        <v>8</v>
      </c>
      <c r="S148" s="28">
        <v>12</v>
      </c>
      <c r="T148" s="28">
        <v>12</v>
      </c>
    </row>
    <row r="149" spans="2:20" ht="13.5" thickBot="1" x14ac:dyDescent="0.35">
      <c r="B149" s="28" t="s">
        <v>125</v>
      </c>
      <c r="C149" s="34">
        <f>INDEX(Tabel_forfaits_huidig[Afgiftedatum t/m 31-12-2021],MATCH(Tabel_forfaits[[#This Row],[Zaakcode]],Tabel_forfaits_huidig[Zaakcode],0))</f>
        <v>8</v>
      </c>
      <c r="D14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9</v>
      </c>
      <c r="E149" s="34">
        <f>INDEX(Tabel_forfaits_Cebeon[afgerond],MATCH(Tabel_forfaits[[#This Row],[Zaakcode]],Tabel_forfaits_Cebeon[Zaakcode],0))</f>
        <v>11</v>
      </c>
      <c r="F149" s="34">
        <f>IFERROR( INDEX(Tabel_kleine_n[voorstel nieuw forfait],MATCH(Tabel_forfaits[[#This Row],[Zaakcode]],Tabel_kleine_n[Kategorie],0)), 0)</f>
        <v>0</v>
      </c>
      <c r="G14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149" s="86"/>
      <c r="J149" s="52" t="s">
        <v>125</v>
      </c>
      <c r="K149" s="52" t="s">
        <v>322</v>
      </c>
      <c r="L149" s="53">
        <v>9</v>
      </c>
      <c r="M149" s="52">
        <v>10.6</v>
      </c>
      <c r="N149" s="126">
        <v>11</v>
      </c>
      <c r="P149" s="27" t="s">
        <v>125</v>
      </c>
      <c r="Q149" s="27" t="s">
        <v>322</v>
      </c>
      <c r="R149" s="27">
        <v>8</v>
      </c>
      <c r="S149" s="27">
        <v>9</v>
      </c>
      <c r="T149" s="27">
        <v>9</v>
      </c>
    </row>
    <row r="150" spans="2:20" ht="52.5" thickBot="1" x14ac:dyDescent="0.35">
      <c r="B150" s="28" t="str">
        <f>Tabel_forfaits_Cebeon[[#This Row],[Zaakcode]]</f>
        <v>Faillissementsrecht/ schuldsanering</v>
      </c>
      <c r="C150" s="34"/>
      <c r="D150" s="34"/>
      <c r="E150" s="34"/>
      <c r="F150" s="34">
        <f>IFERROR( INDEX(Tabel_kleine_n[voorstel nieuw forfait],MATCH(Tabel_forfaits[[#This Row],[Zaakcode]],Tabel_kleine_n[Kategorie],0)), 0)</f>
        <v>0</v>
      </c>
      <c r="G15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50" s="86"/>
      <c r="J150" s="45" t="s">
        <v>323</v>
      </c>
      <c r="K150" s="46"/>
      <c r="L150" s="65"/>
      <c r="M150" s="46"/>
      <c r="N150" s="125"/>
      <c r="P150" s="26" t="s">
        <v>323</v>
      </c>
      <c r="Q150" s="23"/>
      <c r="R150" s="23"/>
      <c r="S150" s="23"/>
      <c r="T150" s="23"/>
    </row>
    <row r="151" spans="2:20" ht="13.5" thickBot="1" x14ac:dyDescent="0.35">
      <c r="B151" s="1" t="s">
        <v>34</v>
      </c>
      <c r="C151" s="34">
        <f>INDEX(Tabel_forfaits_huidig[Afgiftedatum t/m 31-12-2021],MATCH(Tabel_forfaits[[#This Row],[Zaakcode]],Tabel_forfaits_huidig[Zaakcode],0))</f>
        <v>9</v>
      </c>
      <c r="D151"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151" s="34">
        <f>INDEX(Tabel_forfaits_Cebeon[afgerond],MATCH(Tabel_forfaits[[#This Row],[Zaakcode]],Tabel_forfaits_Cebeon[Zaakcode],0))</f>
        <v>0</v>
      </c>
      <c r="F151" s="34">
        <f>IFERROR( INDEX(Tabel_kleine_n[voorstel nieuw forfait],MATCH(Tabel_forfaits[[#This Row],[Zaakcode]],Tabel_kleine_n[Kategorie],0)), 0)</f>
        <v>11</v>
      </c>
      <c r="G15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11</v>
      </c>
      <c r="H151" s="86" t="str">
        <f>$H$20</f>
        <v>kleine n</v>
      </c>
      <c r="J151" s="58" t="s">
        <v>34</v>
      </c>
      <c r="K151" s="59" t="s">
        <v>324</v>
      </c>
      <c r="L151" s="60">
        <v>11</v>
      </c>
      <c r="M151" s="59"/>
      <c r="N151" s="126"/>
      <c r="P151" s="1" t="s">
        <v>34</v>
      </c>
      <c r="Q151" s="27" t="s">
        <v>324</v>
      </c>
      <c r="R151" s="27">
        <v>9</v>
      </c>
      <c r="S151" s="27">
        <v>11</v>
      </c>
      <c r="T151" s="27">
        <v>11</v>
      </c>
    </row>
    <row r="152" spans="2:20" ht="13.5" thickBot="1" x14ac:dyDescent="0.35">
      <c r="B152" s="1" t="s">
        <v>60</v>
      </c>
      <c r="C152" s="34">
        <f>INDEX(Tabel_forfaits_huidig[Afgiftedatum t/m 31-12-2021],MATCH(Tabel_forfaits[[#This Row],[Zaakcode]],Tabel_forfaits_huidig[Zaakcode],0))</f>
        <v>11</v>
      </c>
      <c r="D152"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152" s="34">
        <f>INDEX(Tabel_forfaits_Cebeon[afgerond],MATCH(Tabel_forfaits[[#This Row],[Zaakcode]],Tabel_forfaits_Cebeon[Zaakcode],0))</f>
        <v>13</v>
      </c>
      <c r="F152" s="34">
        <f>IFERROR( INDEX(Tabel_kleine_n[voorstel nieuw forfait],MATCH(Tabel_forfaits[[#This Row],[Zaakcode]],Tabel_kleine_n[Kategorie],0)), 0)</f>
        <v>0</v>
      </c>
      <c r="G15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13</v>
      </c>
      <c r="H152" s="86"/>
      <c r="J152" s="54" t="s">
        <v>60</v>
      </c>
      <c r="K152" s="46" t="s">
        <v>325</v>
      </c>
      <c r="L152" s="56">
        <v>10</v>
      </c>
      <c r="M152" s="55">
        <v>12.7</v>
      </c>
      <c r="N152" s="127">
        <v>13</v>
      </c>
      <c r="P152" s="1" t="s">
        <v>60</v>
      </c>
      <c r="Q152" s="23" t="s">
        <v>325</v>
      </c>
      <c r="R152" s="28">
        <v>11</v>
      </c>
      <c r="S152" s="28">
        <v>11</v>
      </c>
      <c r="T152" s="28">
        <v>10</v>
      </c>
    </row>
    <row r="153" spans="2:20" ht="13.5" thickBot="1" x14ac:dyDescent="0.35">
      <c r="B153" s="1" t="str">
        <f>Tabel_forfaits_Cebeon[[#This Row],[Zaakcode]]</f>
        <v>Verbintenissenrecht</v>
      </c>
      <c r="C153" s="34"/>
      <c r="D153" s="34"/>
      <c r="E153" s="34"/>
      <c r="F153" s="34">
        <f>IFERROR( INDEX(Tabel_kleine_n[voorstel nieuw forfait],MATCH(Tabel_forfaits[[#This Row],[Zaakcode]],Tabel_kleine_n[Kategorie],0)), 0)</f>
        <v>0</v>
      </c>
      <c r="G15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53" s="86"/>
      <c r="J153" s="73" t="s">
        <v>326</v>
      </c>
      <c r="K153" s="44"/>
      <c r="L153" s="74"/>
      <c r="M153" s="44"/>
      <c r="N153" s="128"/>
      <c r="P153" s="29" t="s">
        <v>326</v>
      </c>
      <c r="Q153" s="30"/>
      <c r="R153" s="30"/>
      <c r="S153" s="30"/>
      <c r="T153" s="30"/>
    </row>
    <row r="154" spans="2:20" ht="13.5" thickBot="1" x14ac:dyDescent="0.35">
      <c r="B154" s="1" t="s">
        <v>54</v>
      </c>
      <c r="C154" s="34">
        <f>INDEX(Tabel_forfaits_huidig[Afgiftedatum t/m 31-12-2021],MATCH(Tabel_forfaits[[#This Row],[Zaakcode]],Tabel_forfaits_huidig[Zaakcode],0))</f>
        <v>11</v>
      </c>
      <c r="D154"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19</v>
      </c>
      <c r="E154" s="34">
        <f>INDEX(Tabel_forfaits_Cebeon[afgerond],MATCH(Tabel_forfaits[[#This Row],[Zaakcode]],Tabel_forfaits_Cebeon[Zaakcode],0))</f>
        <v>19</v>
      </c>
      <c r="F154" s="34">
        <f>IFERROR( INDEX(Tabel_kleine_n[voorstel nieuw forfait],MATCH(Tabel_forfaits[[#This Row],[Zaakcode]],Tabel_kleine_n[Kategorie],0)), 0)</f>
        <v>0</v>
      </c>
      <c r="G15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19</v>
      </c>
      <c r="H154" s="86"/>
      <c r="J154" s="54" t="s">
        <v>54</v>
      </c>
      <c r="K154" s="55" t="s">
        <v>327</v>
      </c>
      <c r="L154" s="56">
        <v>19</v>
      </c>
      <c r="M154" s="55">
        <v>19.399999999999999</v>
      </c>
      <c r="N154" s="127">
        <v>19</v>
      </c>
      <c r="P154" s="1" t="s">
        <v>54</v>
      </c>
      <c r="Q154" s="28" t="s">
        <v>327</v>
      </c>
      <c r="R154" s="28">
        <v>11</v>
      </c>
      <c r="S154" s="28">
        <v>19</v>
      </c>
      <c r="T154" s="28">
        <v>19</v>
      </c>
    </row>
    <row r="155" spans="2:20" ht="13.5" thickBot="1" x14ac:dyDescent="0.35">
      <c r="B155" s="1" t="s">
        <v>55</v>
      </c>
      <c r="C155" s="34">
        <f>INDEX(Tabel_forfaits_huidig[Afgiftedatum t/m 31-12-2021],MATCH(Tabel_forfaits[[#This Row],[Zaakcode]],Tabel_forfaits_huidig[Zaakcode],0))</f>
        <v>11</v>
      </c>
      <c r="D15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11</v>
      </c>
      <c r="E155" s="34">
        <f>INDEX(Tabel_forfaits_Cebeon[afgerond],MATCH(Tabel_forfaits[[#This Row],[Zaakcode]],Tabel_forfaits_Cebeon[Zaakcode],0))</f>
        <v>15</v>
      </c>
      <c r="F155" s="34">
        <f>IFERROR( INDEX(Tabel_kleine_n[voorstel nieuw forfait],MATCH(Tabel_forfaits[[#This Row],[Zaakcode]],Tabel_kleine_n[Kategorie],0)), 0)</f>
        <v>0</v>
      </c>
      <c r="G15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15</v>
      </c>
      <c r="H155" s="86"/>
      <c r="J155" s="51" t="s">
        <v>55</v>
      </c>
      <c r="K155" s="52" t="s">
        <v>328</v>
      </c>
      <c r="L155" s="53">
        <v>11</v>
      </c>
      <c r="M155" s="52">
        <v>13.5</v>
      </c>
      <c r="N155" s="57">
        <v>15</v>
      </c>
      <c r="P155" s="1" t="s">
        <v>55</v>
      </c>
      <c r="Q155" s="27" t="s">
        <v>328</v>
      </c>
      <c r="R155" s="27">
        <v>11</v>
      </c>
      <c r="S155" s="27">
        <v>11</v>
      </c>
      <c r="T155" s="27">
        <v>11</v>
      </c>
    </row>
    <row r="156" spans="2:20" ht="13.5" thickBot="1" x14ac:dyDescent="0.35">
      <c r="B156" s="1" t="s">
        <v>56</v>
      </c>
      <c r="C156" s="34">
        <f>INDEX(Tabel_forfaits_huidig[Afgiftedatum t/m 31-12-2021],MATCH(Tabel_forfaits[[#This Row],[Zaakcode]],Tabel_forfaits_huidig[Zaakcode],0))</f>
        <v>11</v>
      </c>
      <c r="D15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16</v>
      </c>
      <c r="E156" s="34">
        <f>INDEX(Tabel_forfaits_Cebeon[afgerond],MATCH(Tabel_forfaits[[#This Row],[Zaakcode]],Tabel_forfaits_Cebeon[Zaakcode],0))</f>
        <v>0</v>
      </c>
      <c r="F156" s="34">
        <f>IFERROR( INDEX(Tabel_kleine_n[voorstel nieuw forfait],MATCH(Tabel_forfaits[[#This Row],[Zaakcode]],Tabel_kleine_n[Kategorie],0)), 0)</f>
        <v>16</v>
      </c>
      <c r="G15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16</v>
      </c>
      <c r="H156" s="86" t="str">
        <f>$H$20</f>
        <v>kleine n</v>
      </c>
      <c r="J156" s="61" t="s">
        <v>56</v>
      </c>
      <c r="K156" s="62" t="s">
        <v>329</v>
      </c>
      <c r="L156" s="63">
        <v>16</v>
      </c>
      <c r="M156" s="62"/>
      <c r="N156" s="127"/>
      <c r="P156" s="1" t="s">
        <v>56</v>
      </c>
      <c r="Q156" s="28" t="s">
        <v>329</v>
      </c>
      <c r="R156" s="28">
        <v>11</v>
      </c>
      <c r="S156" s="28">
        <v>16</v>
      </c>
      <c r="T156" s="28">
        <v>16</v>
      </c>
    </row>
    <row r="157" spans="2:20" ht="13.5" thickBot="1" x14ac:dyDescent="0.35">
      <c r="B157" s="1" t="s">
        <v>57</v>
      </c>
      <c r="C157" s="34">
        <f>INDEX(Tabel_forfaits_huidig[Afgiftedatum t/m 31-12-2021],MATCH(Tabel_forfaits[[#This Row],[Zaakcode]],Tabel_forfaits_huidig[Zaakcode],0))</f>
        <v>11</v>
      </c>
      <c r="D15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15</v>
      </c>
      <c r="E157" s="34">
        <f>INDEX(Tabel_forfaits_Cebeon[afgerond],MATCH(Tabel_forfaits[[#This Row],[Zaakcode]],Tabel_forfaits_Cebeon[Zaakcode],0))</f>
        <v>14</v>
      </c>
      <c r="F157" s="34">
        <f>IFERROR( INDEX(Tabel_kleine_n[voorstel nieuw forfait],MATCH(Tabel_forfaits[[#This Row],[Zaakcode]],Tabel_kleine_n[Kategorie],0)), 0)</f>
        <v>0</v>
      </c>
      <c r="G15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14</v>
      </c>
      <c r="H157" s="86"/>
      <c r="J157" s="51" t="s">
        <v>57</v>
      </c>
      <c r="K157" s="52" t="s">
        <v>330</v>
      </c>
      <c r="L157" s="53">
        <v>15</v>
      </c>
      <c r="M157" s="52">
        <v>14.5</v>
      </c>
      <c r="N157" s="57">
        <v>14</v>
      </c>
      <c r="P157" s="1" t="s">
        <v>57</v>
      </c>
      <c r="Q157" s="27" t="s">
        <v>330</v>
      </c>
      <c r="R157" s="27">
        <v>11</v>
      </c>
      <c r="S157" s="27">
        <v>15</v>
      </c>
      <c r="T157" s="27">
        <v>15</v>
      </c>
    </row>
    <row r="158" spans="2:20" ht="13.5" thickBot="1" x14ac:dyDescent="0.35">
      <c r="B158" s="1" t="s">
        <v>58</v>
      </c>
      <c r="C158" s="34">
        <f>INDEX(Tabel_forfaits_huidig[Afgiftedatum t/m 31-12-2021],MATCH(Tabel_forfaits[[#This Row],[Zaakcode]],Tabel_forfaits_huidig[Zaakcode],0))</f>
        <v>11</v>
      </c>
      <c r="D158"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17</v>
      </c>
      <c r="E158" s="34">
        <f>INDEX(Tabel_forfaits_Cebeon[afgerond],MATCH(Tabel_forfaits[[#This Row],[Zaakcode]],Tabel_forfaits_Cebeon[Zaakcode],0))</f>
        <v>0</v>
      </c>
      <c r="F158" s="34">
        <f>IFERROR( INDEX(Tabel_kleine_n[voorstel nieuw forfait],MATCH(Tabel_forfaits[[#This Row],[Zaakcode]],Tabel_kleine_n[Kategorie],0)), 0)</f>
        <v>19</v>
      </c>
      <c r="G15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19</v>
      </c>
      <c r="H158" s="86" t="str">
        <f>$H$20</f>
        <v>kleine n</v>
      </c>
      <c r="J158" s="61" t="s">
        <v>58</v>
      </c>
      <c r="K158" s="62" t="s">
        <v>331</v>
      </c>
      <c r="L158" s="63">
        <v>17</v>
      </c>
      <c r="M158" s="62"/>
      <c r="N158" s="127"/>
      <c r="P158" s="1" t="s">
        <v>58</v>
      </c>
      <c r="Q158" s="28" t="s">
        <v>331</v>
      </c>
      <c r="R158" s="28">
        <v>11</v>
      </c>
      <c r="S158" s="28">
        <v>17</v>
      </c>
      <c r="T158" s="28">
        <v>17</v>
      </c>
    </row>
    <row r="159" spans="2:20" ht="13.5" thickBot="1" x14ac:dyDescent="0.35">
      <c r="B159" s="1" t="s">
        <v>59</v>
      </c>
      <c r="C159" s="34">
        <f>INDEX(Tabel_forfaits_huidig[Afgiftedatum t/m 31-12-2021],MATCH(Tabel_forfaits[[#This Row],[Zaakcode]],Tabel_forfaits_huidig[Zaakcode],0))</f>
        <v>11</v>
      </c>
      <c r="D15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16</v>
      </c>
      <c r="E159" s="34">
        <f>INDEX(Tabel_forfaits_Cebeon[afgerond],MATCH(Tabel_forfaits[[#This Row],[Zaakcode]],Tabel_forfaits_Cebeon[Zaakcode],0))</f>
        <v>19</v>
      </c>
      <c r="F159" s="34">
        <f>IFERROR( INDEX(Tabel_kleine_n[voorstel nieuw forfait],MATCH(Tabel_forfaits[[#This Row],[Zaakcode]],Tabel_kleine_n[Kategorie],0)), 0)</f>
        <v>0</v>
      </c>
      <c r="G15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19</v>
      </c>
      <c r="H159" s="86"/>
      <c r="J159" s="51" t="s">
        <v>59</v>
      </c>
      <c r="K159" s="52" t="s">
        <v>332</v>
      </c>
      <c r="L159" s="53">
        <v>16</v>
      </c>
      <c r="M159" s="52">
        <v>18.5</v>
      </c>
      <c r="N159" s="126">
        <v>19</v>
      </c>
      <c r="P159" s="1" t="s">
        <v>59</v>
      </c>
      <c r="Q159" s="27" t="s">
        <v>332</v>
      </c>
      <c r="R159" s="27">
        <v>11</v>
      </c>
      <c r="S159" s="27">
        <v>16</v>
      </c>
      <c r="T159" s="27">
        <v>16</v>
      </c>
    </row>
    <row r="160" spans="2:20" ht="13.5" thickBot="1" x14ac:dyDescent="0.35">
      <c r="B160" s="1" t="s">
        <v>61</v>
      </c>
      <c r="C160" s="34">
        <f>INDEX(Tabel_forfaits_huidig[Afgiftedatum t/m 31-12-2021],MATCH(Tabel_forfaits[[#This Row],[Zaakcode]],Tabel_forfaits_huidig[Zaakcode],0))</f>
        <v>11</v>
      </c>
      <c r="D160"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18</v>
      </c>
      <c r="E160" s="34">
        <f>INDEX(Tabel_forfaits_Cebeon[afgerond],MATCH(Tabel_forfaits[[#This Row],[Zaakcode]],Tabel_forfaits_Cebeon[Zaakcode],0))</f>
        <v>0</v>
      </c>
      <c r="F160" s="34">
        <f>IFERROR( INDEX(Tabel_kleine_n[voorstel nieuw forfait],MATCH(Tabel_forfaits[[#This Row],[Zaakcode]],Tabel_kleine_n[Kategorie],0)), 0)</f>
        <v>18</v>
      </c>
      <c r="G16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18</v>
      </c>
      <c r="H160" s="86" t="str">
        <f>$H$20</f>
        <v>kleine n</v>
      </c>
      <c r="J160" s="61" t="s">
        <v>61</v>
      </c>
      <c r="K160" s="62" t="s">
        <v>333</v>
      </c>
      <c r="L160" s="63">
        <v>18</v>
      </c>
      <c r="M160" s="62"/>
      <c r="N160" s="127"/>
      <c r="P160" s="1" t="s">
        <v>61</v>
      </c>
      <c r="Q160" s="28" t="s">
        <v>333</v>
      </c>
      <c r="R160" s="28">
        <v>11</v>
      </c>
      <c r="S160" s="28">
        <v>18</v>
      </c>
      <c r="T160" s="28">
        <v>18</v>
      </c>
    </row>
    <row r="161" spans="2:20" ht="26.5" thickBot="1" x14ac:dyDescent="0.35">
      <c r="B161" s="1" t="s">
        <v>62</v>
      </c>
      <c r="C161" s="34" t="str">
        <f>INDEX(Tabel_forfaits_huidig[Afgiftedatum t/m 31-12-2021],MATCH(Tabel_forfaits[[#This Row],[Zaakcode]],Tabel_forfaits_huidig[Zaakcode],0))</f>
        <v>n.v.t.</v>
      </c>
      <c r="D161"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1" s="34" t="str">
        <f>INDEX(Tabel_forfaits_Cebeon[afgerond],MATCH(Tabel_forfaits[[#This Row],[Zaakcode]],Tabel_forfaits_Cebeon[Zaakcode],0))</f>
        <v>n.v.t.</v>
      </c>
      <c r="F161" s="34">
        <f>IFERROR( INDEX(Tabel_kleine_n[voorstel nieuw forfait],MATCH(Tabel_forfaits[[#This Row],[Zaakcode]],Tabel_kleine_n[Kategorie],0)), 0)</f>
        <v>0</v>
      </c>
      <c r="G161"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1" s="86" t="s">
        <v>705</v>
      </c>
      <c r="J161" s="68" t="s">
        <v>62</v>
      </c>
      <c r="K161" s="47" t="s">
        <v>334</v>
      </c>
      <c r="L161" s="48" t="s">
        <v>63</v>
      </c>
      <c r="M161" s="47" t="s">
        <v>63</v>
      </c>
      <c r="N161" s="126" t="s">
        <v>63</v>
      </c>
      <c r="P161" s="1" t="s">
        <v>62</v>
      </c>
      <c r="Q161" s="27" t="s">
        <v>334</v>
      </c>
      <c r="R161" s="27" t="s">
        <v>63</v>
      </c>
      <c r="S161" s="27" t="s">
        <v>63</v>
      </c>
      <c r="T161" s="27" t="s">
        <v>63</v>
      </c>
    </row>
    <row r="162" spans="2:20" ht="13.5" thickBot="1" x14ac:dyDescent="0.35">
      <c r="B162" s="28" t="s">
        <v>64</v>
      </c>
      <c r="C162" s="34" t="str">
        <f>INDEX(Tabel_forfaits_huidig[Afgiftedatum t/m 31-12-2021],MATCH(Tabel_forfaits[[#This Row],[Zaakcode]],Tabel_forfaits_huidig[Zaakcode],0))</f>
        <v>n.v.t.</v>
      </c>
      <c r="D162"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2" s="34" t="str">
        <f>INDEX(Tabel_forfaits_Cebeon[afgerond],MATCH(Tabel_forfaits[[#This Row],[Zaakcode]],Tabel_forfaits_Cebeon[Zaakcode],0))</f>
        <v>n.v.t.</v>
      </c>
      <c r="F162" s="34">
        <f>IFERROR( INDEX(Tabel_kleine_n[voorstel nieuw forfait],MATCH(Tabel_forfaits[[#This Row],[Zaakcode]],Tabel_kleine_n[Kategorie],0)), 0)</f>
        <v>0</v>
      </c>
      <c r="G162"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2" s="86" t="s">
        <v>705</v>
      </c>
      <c r="J162" s="49" t="s">
        <v>64</v>
      </c>
      <c r="K162" s="49" t="s">
        <v>335</v>
      </c>
      <c r="L162" s="50" t="s">
        <v>63</v>
      </c>
      <c r="M162" s="49" t="s">
        <v>63</v>
      </c>
      <c r="N162" s="127" t="s">
        <v>63</v>
      </c>
      <c r="P162" s="28" t="s">
        <v>64</v>
      </c>
      <c r="Q162" s="28" t="s">
        <v>335</v>
      </c>
      <c r="R162" s="28" t="s">
        <v>63</v>
      </c>
      <c r="S162" s="28" t="s">
        <v>63</v>
      </c>
      <c r="T162" s="28" t="s">
        <v>63</v>
      </c>
    </row>
    <row r="163" spans="2:20" ht="13.5" thickBot="1" x14ac:dyDescent="0.35">
      <c r="B163" s="28" t="s">
        <v>357</v>
      </c>
      <c r="C163" s="34" t="str">
        <f>INDEX(Tabel_forfaits_huidig[Afgiftedatum t/m 31-12-2021],MATCH(Tabel_forfaits[[#This Row],[Zaakcode]],Tabel_forfaits_huidig[Zaakcode],0))</f>
        <v>n.v.t.</v>
      </c>
      <c r="D163"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3" s="34" t="str">
        <f>INDEX(Tabel_forfaits_Cebeon[afgerond],MATCH(Tabel_forfaits[[#This Row],[Zaakcode]],Tabel_forfaits_Cebeon[Zaakcode],0))</f>
        <v>n.v.t.</v>
      </c>
      <c r="F163" s="34">
        <f>IFERROR( INDEX(Tabel_kleine_n[voorstel nieuw forfait],MATCH(Tabel_forfaits[[#This Row],[Zaakcode]],Tabel_kleine_n[Kategorie],0)), 0)</f>
        <v>0</v>
      </c>
      <c r="G163"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3" s="86" t="s">
        <v>705</v>
      </c>
      <c r="J163" s="47" t="s">
        <v>357</v>
      </c>
      <c r="K163" s="47" t="s">
        <v>336</v>
      </c>
      <c r="L163" s="48" t="s">
        <v>63</v>
      </c>
      <c r="M163" s="47" t="s">
        <v>63</v>
      </c>
      <c r="N163" s="126" t="s">
        <v>63</v>
      </c>
      <c r="P163" s="27" t="s">
        <v>357</v>
      </c>
      <c r="Q163" s="27" t="s">
        <v>336</v>
      </c>
      <c r="R163" s="27" t="s">
        <v>63</v>
      </c>
      <c r="S163" s="27" t="s">
        <v>63</v>
      </c>
      <c r="T163" s="27" t="s">
        <v>63</v>
      </c>
    </row>
    <row r="164" spans="2:20" ht="13.5" thickBot="1" x14ac:dyDescent="0.35">
      <c r="B164" s="28" t="s">
        <v>358</v>
      </c>
      <c r="C164" s="34" t="str">
        <f>INDEX(Tabel_forfaits_huidig[Afgiftedatum t/m 31-12-2021],MATCH(Tabel_forfaits[[#This Row],[Zaakcode]],Tabel_forfaits_huidig[Zaakcode],0))</f>
        <v>n.v.t.</v>
      </c>
      <c r="D164"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4" s="34" t="str">
        <f>INDEX(Tabel_forfaits_Cebeon[afgerond],MATCH(Tabel_forfaits[[#This Row],[Zaakcode]],Tabel_forfaits_Cebeon[Zaakcode],0))</f>
        <v>n.v.t.</v>
      </c>
      <c r="F164" s="34">
        <f>IFERROR( INDEX(Tabel_kleine_n[voorstel nieuw forfait],MATCH(Tabel_forfaits[[#This Row],[Zaakcode]],Tabel_kleine_n[Kategorie],0)), 0)</f>
        <v>0</v>
      </c>
      <c r="G164"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4" s="86" t="s">
        <v>705</v>
      </c>
      <c r="J164" s="49" t="s">
        <v>358</v>
      </c>
      <c r="K164" s="49" t="s">
        <v>337</v>
      </c>
      <c r="L164" s="50" t="s">
        <v>63</v>
      </c>
      <c r="M164" s="49" t="s">
        <v>63</v>
      </c>
      <c r="N164" s="127" t="s">
        <v>63</v>
      </c>
      <c r="P164" s="28" t="s">
        <v>358</v>
      </c>
      <c r="Q164" s="28" t="s">
        <v>337</v>
      </c>
      <c r="R164" s="28" t="s">
        <v>63</v>
      </c>
      <c r="S164" s="28" t="s">
        <v>63</v>
      </c>
      <c r="T164" s="28" t="s">
        <v>63</v>
      </c>
    </row>
    <row r="165" spans="2:20" ht="13.5" thickBot="1" x14ac:dyDescent="0.35">
      <c r="B165" s="1" t="s">
        <v>65</v>
      </c>
      <c r="C165" s="34" t="str">
        <f>INDEX(Tabel_forfaits_huidig[Afgiftedatum t/m 31-12-2021],MATCH(Tabel_forfaits[[#This Row],[Zaakcode]],Tabel_forfaits_huidig[Zaakcode],0))</f>
        <v>n.v.t.</v>
      </c>
      <c r="D165"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5" s="34" t="str">
        <f>INDEX(Tabel_forfaits_Cebeon[afgerond],MATCH(Tabel_forfaits[[#This Row],[Zaakcode]],Tabel_forfaits_Cebeon[Zaakcode],0))</f>
        <v>n.v.t.</v>
      </c>
      <c r="F165" s="34">
        <f>IFERROR( INDEX(Tabel_kleine_n[voorstel nieuw forfait],MATCH(Tabel_forfaits[[#This Row],[Zaakcode]],Tabel_kleine_n[Kategorie],0)), 0)</f>
        <v>0</v>
      </c>
      <c r="G165"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5" s="86" t="s">
        <v>705</v>
      </c>
      <c r="J165" s="68" t="s">
        <v>65</v>
      </c>
      <c r="K165" s="47" t="s">
        <v>338</v>
      </c>
      <c r="L165" s="48" t="s">
        <v>63</v>
      </c>
      <c r="M165" s="47" t="s">
        <v>63</v>
      </c>
      <c r="N165" s="126" t="s">
        <v>63</v>
      </c>
      <c r="P165" s="1" t="s">
        <v>65</v>
      </c>
      <c r="Q165" s="27" t="s">
        <v>338</v>
      </c>
      <c r="R165" s="27" t="s">
        <v>63</v>
      </c>
      <c r="S165" s="27" t="s">
        <v>63</v>
      </c>
      <c r="T165" s="27" t="s">
        <v>63</v>
      </c>
    </row>
    <row r="166" spans="2:20" ht="13.5" thickBot="1" x14ac:dyDescent="0.35">
      <c r="B166" s="28" t="s">
        <v>66</v>
      </c>
      <c r="C166" s="34" t="str">
        <f>INDEX(Tabel_forfaits_huidig[Afgiftedatum t/m 31-12-2021],MATCH(Tabel_forfaits[[#This Row],[Zaakcode]],Tabel_forfaits_huidig[Zaakcode],0))</f>
        <v>n.v.t.</v>
      </c>
      <c r="D166"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66" s="34" t="str">
        <f>INDEX(Tabel_forfaits_Cebeon[afgerond],MATCH(Tabel_forfaits[[#This Row],[Zaakcode]],Tabel_forfaits_Cebeon[Zaakcode],0))</f>
        <v>n.v.t.</v>
      </c>
      <c r="F166" s="34">
        <f>IFERROR( INDEX(Tabel_kleine_n[voorstel nieuw forfait],MATCH(Tabel_forfaits[[#This Row],[Zaakcode]],Tabel_kleine_n[Kategorie],0)), 0)</f>
        <v>0</v>
      </c>
      <c r="G166" s="34" t="str">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n.v.t.</v>
      </c>
      <c r="H166" s="86" t="s">
        <v>705</v>
      </c>
      <c r="J166" s="49" t="s">
        <v>66</v>
      </c>
      <c r="K166" s="49" t="s">
        <v>339</v>
      </c>
      <c r="L166" s="50" t="s">
        <v>63</v>
      </c>
      <c r="M166" s="49" t="s">
        <v>63</v>
      </c>
      <c r="N166" s="127" t="s">
        <v>63</v>
      </c>
      <c r="P166" s="28" t="s">
        <v>66</v>
      </c>
      <c r="Q166" s="28" t="s">
        <v>339</v>
      </c>
      <c r="R166" s="28" t="s">
        <v>63</v>
      </c>
      <c r="S166" s="28" t="s">
        <v>63</v>
      </c>
      <c r="T166" s="28" t="s">
        <v>63</v>
      </c>
    </row>
    <row r="167" spans="2:20" ht="13.5" thickBot="1" x14ac:dyDescent="0.35">
      <c r="B167" s="1" t="s">
        <v>67</v>
      </c>
      <c r="C167" s="34">
        <f>INDEX(Tabel_forfaits_huidig[Afgiftedatum t/m 31-12-2021],MATCH(Tabel_forfaits[[#This Row],[Zaakcode]],Tabel_forfaits_huidig[Zaakcode],0))</f>
        <v>11</v>
      </c>
      <c r="D16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14</v>
      </c>
      <c r="E167" s="34">
        <f>INDEX(Tabel_forfaits_Cebeon[afgerond],MATCH(Tabel_forfaits[[#This Row],[Zaakcode]],Tabel_forfaits_Cebeon[Zaakcode],0))</f>
        <v>0</v>
      </c>
      <c r="F167" s="34">
        <f>IFERROR( INDEX(Tabel_kleine_n[voorstel nieuw forfait],MATCH(Tabel_forfaits[[#This Row],[Zaakcode]],Tabel_kleine_n[Kategorie],0)), 0)</f>
        <v>14</v>
      </c>
      <c r="G16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14</v>
      </c>
      <c r="H167" s="86" t="str">
        <f>$H$20</f>
        <v>kleine n</v>
      </c>
      <c r="J167" s="77" t="s">
        <v>67</v>
      </c>
      <c r="K167" s="59" t="s">
        <v>340</v>
      </c>
      <c r="L167" s="60">
        <v>14</v>
      </c>
      <c r="M167" s="59"/>
      <c r="N167" s="126"/>
      <c r="P167" s="1" t="s">
        <v>67</v>
      </c>
      <c r="Q167" s="27" t="s">
        <v>340</v>
      </c>
      <c r="R167" s="27">
        <v>11</v>
      </c>
      <c r="S167" s="27">
        <v>14</v>
      </c>
      <c r="T167" s="27">
        <v>14</v>
      </c>
    </row>
    <row r="168" spans="2:20" ht="13.5" thickBot="1" x14ac:dyDescent="0.35">
      <c r="B168" s="1" t="str">
        <f>Tabel_forfaits_Cebeon[[#This Row],[Zaakcode]]</f>
        <v>Milieurecht</v>
      </c>
      <c r="C168" s="34"/>
      <c r="D168" s="34"/>
      <c r="E168" s="34"/>
      <c r="F168" s="34">
        <f>IFERROR( INDEX(Tabel_kleine_n[voorstel nieuw forfait],MATCH(Tabel_forfaits[[#This Row],[Zaakcode]],Tabel_kleine_n[Kategorie],0)), 0)</f>
        <v>0</v>
      </c>
      <c r="G168"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68" s="86"/>
      <c r="J168" s="45" t="s">
        <v>341</v>
      </c>
      <c r="K168" s="46"/>
      <c r="L168" s="65"/>
      <c r="M168" s="46"/>
      <c r="N168" s="125"/>
      <c r="P168" s="26" t="s">
        <v>341</v>
      </c>
      <c r="Q168" s="23"/>
      <c r="R168" s="23"/>
      <c r="S168" s="23"/>
      <c r="T168" s="23"/>
    </row>
    <row r="169" spans="2:20" ht="13.5" thickBot="1" x14ac:dyDescent="0.35">
      <c r="B169" s="1" t="s">
        <v>35</v>
      </c>
      <c r="C169" s="34">
        <f>INDEX(Tabel_forfaits_huidig[Afgiftedatum t/m 31-12-2021],MATCH(Tabel_forfaits[[#This Row],[Zaakcode]],Tabel_forfaits_huidig[Zaakcode],0))</f>
        <v>11</v>
      </c>
      <c r="D169"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16</v>
      </c>
      <c r="E169" s="34">
        <f>INDEX(Tabel_forfaits_Cebeon[afgerond],MATCH(Tabel_forfaits[[#This Row],[Zaakcode]],Tabel_forfaits_Cebeon[Zaakcode],0))</f>
        <v>0</v>
      </c>
      <c r="F169" s="34">
        <f>IFERROR( INDEX(Tabel_kleine_n[voorstel nieuw forfait],MATCH(Tabel_forfaits[[#This Row],[Zaakcode]],Tabel_kleine_n[Kategorie],0)), 0)</f>
        <v>17</v>
      </c>
      <c r="G169"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17</v>
      </c>
      <c r="H169" s="86" t="str">
        <f>$H$20</f>
        <v>kleine n</v>
      </c>
      <c r="J169" s="58" t="s">
        <v>35</v>
      </c>
      <c r="K169" s="59" t="s">
        <v>341</v>
      </c>
      <c r="L169" s="78">
        <v>16</v>
      </c>
      <c r="M169" s="59"/>
      <c r="N169" s="130"/>
      <c r="P169" s="1" t="s">
        <v>35</v>
      </c>
      <c r="Q169" s="27" t="s">
        <v>341</v>
      </c>
      <c r="R169" s="27">
        <v>11</v>
      </c>
      <c r="S169" s="27">
        <v>16</v>
      </c>
      <c r="T169" s="31">
        <v>16</v>
      </c>
    </row>
    <row r="170" spans="2:20" ht="26.5" thickBot="1" x14ac:dyDescent="0.35">
      <c r="B170" s="1" t="str">
        <f>Tabel_forfaits_Cebeon[[#This Row],[Zaakcode]]</f>
        <v>Diverse regelingen</v>
      </c>
      <c r="C170" s="34"/>
      <c r="D170" s="34"/>
      <c r="E170" s="34"/>
      <c r="F170" s="34">
        <f>IFERROR( INDEX(Tabel_kleine_n[voorstel nieuw forfait],MATCH(Tabel_forfaits[[#This Row],[Zaakcode]],Tabel_kleine_n[Kategorie],0)), 0)</f>
        <v>0</v>
      </c>
      <c r="G170"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0</v>
      </c>
      <c r="H170" s="86"/>
      <c r="J170" s="79" t="s">
        <v>387</v>
      </c>
      <c r="K170" s="80"/>
      <c r="L170" s="81"/>
      <c r="M170" s="82"/>
      <c r="N170" s="131"/>
      <c r="P170" s="26" t="s">
        <v>342</v>
      </c>
      <c r="Q170" s="23"/>
      <c r="R170" s="23"/>
      <c r="S170" s="23"/>
      <c r="T170" s="32"/>
    </row>
    <row r="171" spans="2:20" ht="26.5" thickBot="1" x14ac:dyDescent="0.35">
      <c r="B171" s="1" t="s">
        <v>343</v>
      </c>
      <c r="C171" s="34" t="str">
        <f>INDEX(Tabel_forfaits_huidig[Afgiftedatum t/m 31-12-2021],MATCH(Tabel_forfaits[[#This Row],[Zaakcode]],Tabel_forfaits_huidig[Zaakcode],0))</f>
        <v>n.v.t.</v>
      </c>
      <c r="D171"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71" s="34">
        <f>INDEX(Tabel_forfaits_Cebeon[afgerond],MATCH(Tabel_forfaits[[#This Row],[Zaakcode]],Tabel_forfaits_Cebeon[Zaakcode],0))</f>
        <v>8</v>
      </c>
      <c r="F171" s="34">
        <f>IFERROR( INDEX(Tabel_kleine_n[voorstel nieuw forfait],MATCH(Tabel_forfaits[[#This Row],[Zaakcode]],Tabel_kleine_n[Kategorie],0)), 0)</f>
        <v>0</v>
      </c>
      <c r="G171"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8</v>
      </c>
      <c r="H171" s="86"/>
      <c r="J171" s="83" t="s">
        <v>343</v>
      </c>
      <c r="K171" s="82" t="s">
        <v>344</v>
      </c>
      <c r="L171" s="81">
        <v>8</v>
      </c>
      <c r="M171" s="82" t="s">
        <v>63</v>
      </c>
      <c r="N171" s="131">
        <v>8</v>
      </c>
      <c r="P171" s="1" t="s">
        <v>343</v>
      </c>
      <c r="Q171" s="30" t="s">
        <v>344</v>
      </c>
      <c r="R171" s="30" t="s">
        <v>63</v>
      </c>
      <c r="S171" s="30" t="s">
        <v>63</v>
      </c>
      <c r="T171" s="33">
        <v>8</v>
      </c>
    </row>
    <row r="172" spans="2:20" ht="13.5" thickBot="1" x14ac:dyDescent="0.35">
      <c r="B172" s="1" t="s">
        <v>345</v>
      </c>
      <c r="C172" s="34" t="str">
        <f>INDEX(Tabel_forfaits_huidig[Afgiftedatum t/m 31-12-2021],MATCH(Tabel_forfaits[[#This Row],[Zaakcode]],Tabel_forfaits_huidig[Zaakcode],0))</f>
        <v>n.v.t.</v>
      </c>
      <c r="D172"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72" s="34">
        <f>INDEX(Tabel_forfaits_Cebeon[afgerond],MATCH(Tabel_forfaits[[#This Row],[Zaakcode]],Tabel_forfaits_Cebeon[Zaakcode],0))</f>
        <v>40</v>
      </c>
      <c r="F172" s="34">
        <f>IFERROR( INDEX(Tabel_kleine_n[voorstel nieuw forfait],MATCH(Tabel_forfaits[[#This Row],[Zaakcode]],Tabel_kleine_n[Kategorie],0)), 0)</f>
        <v>0</v>
      </c>
      <c r="G172"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40</v>
      </c>
      <c r="H172" s="86"/>
      <c r="J172" s="84" t="s">
        <v>345</v>
      </c>
      <c r="K172" s="80" t="s">
        <v>388</v>
      </c>
      <c r="L172" s="81">
        <v>40</v>
      </c>
      <c r="M172" s="82" t="s">
        <v>63</v>
      </c>
      <c r="N172" s="131">
        <v>40</v>
      </c>
      <c r="P172" s="1" t="s">
        <v>345</v>
      </c>
      <c r="Q172" s="23" t="s">
        <v>346</v>
      </c>
      <c r="R172" s="23" t="s">
        <v>63</v>
      </c>
      <c r="S172" s="23" t="s">
        <v>63</v>
      </c>
      <c r="T172" s="32">
        <v>40</v>
      </c>
    </row>
    <row r="173" spans="2:20" ht="13.5" thickBot="1" x14ac:dyDescent="0.35">
      <c r="B173" s="1" t="s">
        <v>347</v>
      </c>
      <c r="C173" s="34" t="str">
        <f>INDEX(Tabel_forfaits_huidig[Afgiftedatum t/m 31-12-2021],MATCH(Tabel_forfaits[[#This Row],[Zaakcode]],Tabel_forfaits_huidig[Zaakcode],0))</f>
        <v>n.v.t.</v>
      </c>
      <c r="D173"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73" s="34">
        <f>INDEX(Tabel_forfaits_Cebeon[afgerond],MATCH(Tabel_forfaits[[#This Row],[Zaakcode]],Tabel_forfaits_Cebeon[Zaakcode],0))</f>
        <v>40</v>
      </c>
      <c r="F173" s="34">
        <f>IFERROR( INDEX(Tabel_kleine_n[voorstel nieuw forfait],MATCH(Tabel_forfaits[[#This Row],[Zaakcode]],Tabel_kleine_n[Kategorie],0)), 0)</f>
        <v>0</v>
      </c>
      <c r="G173"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40</v>
      </c>
      <c r="H173" s="86"/>
      <c r="J173" s="85" t="s">
        <v>347</v>
      </c>
      <c r="K173" s="82" t="s">
        <v>348</v>
      </c>
      <c r="L173" s="81">
        <v>40</v>
      </c>
      <c r="M173" s="82" t="s">
        <v>63</v>
      </c>
      <c r="N173" s="131">
        <v>40</v>
      </c>
      <c r="P173" s="1" t="s">
        <v>347</v>
      </c>
      <c r="Q173" s="30" t="s">
        <v>348</v>
      </c>
      <c r="R173" s="30" t="s">
        <v>63</v>
      </c>
      <c r="S173" s="30" t="s">
        <v>63</v>
      </c>
      <c r="T173" s="33">
        <v>40</v>
      </c>
    </row>
    <row r="174" spans="2:20" ht="13.5" thickBot="1" x14ac:dyDescent="0.35">
      <c r="B174" s="1" t="s">
        <v>349</v>
      </c>
      <c r="C174" s="34" t="str">
        <f>INDEX(Tabel_forfaits_huidig[Afgiftedatum t/m 31-12-2021],MATCH(Tabel_forfaits[[#This Row],[Zaakcode]],Tabel_forfaits_huidig[Zaakcode],0))</f>
        <v>n.v.t.</v>
      </c>
      <c r="D174" s="34" t="str">
        <f>IF(INDEX(Tabel_forfaits_huidig[Afgiftedatum m.i.v. 1-1-2022],MATCH(Tabel_forfaits[[#This Row],[Zaakcode]],Tabel_forfaits_huidig[Zaakcode],0))="n.v.t.",Tabel_forfaits[[#This Row],[forfait voor 2022]],  INDEX(Tabel_forfaits_huidig[Afgiftedatum m.i.v. 1-1-2022],MATCH(Tabel_forfaits[[#This Row],[Zaakcode]],Tabel_forfaits_huidig[Zaakcode],0)))</f>
        <v>n.v.t.</v>
      </c>
      <c r="E174" s="34">
        <f>INDEX(Tabel_forfaits_Cebeon[afgerond],MATCH(Tabel_forfaits[[#This Row],[Zaakcode]],Tabel_forfaits_Cebeon[Zaakcode],0))</f>
        <v>22</v>
      </c>
      <c r="F174" s="34">
        <f>IFERROR( INDEX(Tabel_kleine_n[voorstel nieuw forfait],MATCH(Tabel_forfaits[[#This Row],[Zaakcode]],Tabel_kleine_n[Kategorie],0)), 0)</f>
        <v>0</v>
      </c>
      <c r="G174"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22</v>
      </c>
      <c r="H174" s="86"/>
      <c r="J174" s="84" t="s">
        <v>349</v>
      </c>
      <c r="K174" s="80" t="s">
        <v>389</v>
      </c>
      <c r="L174" s="81">
        <v>22</v>
      </c>
      <c r="M174" s="82" t="s">
        <v>63</v>
      </c>
      <c r="N174" s="131">
        <v>22</v>
      </c>
      <c r="P174" s="1" t="s">
        <v>349</v>
      </c>
      <c r="Q174" s="23" t="s">
        <v>350</v>
      </c>
      <c r="R174" s="23" t="s">
        <v>63</v>
      </c>
      <c r="S174" s="23" t="s">
        <v>63</v>
      </c>
      <c r="T174" s="32">
        <v>22</v>
      </c>
    </row>
    <row r="175" spans="2:20" x14ac:dyDescent="0.3">
      <c r="B175" s="1" t="s">
        <v>159</v>
      </c>
      <c r="C175" s="34">
        <f>INDEX(Tabel_forfaits_huidig[Afgiftedatum t/m 31-12-2021],MATCH(Tabel_forfaits[[#This Row],[Zaakcode]],Tabel_forfaits_huidig[Zaakcode],0))</f>
        <v>2</v>
      </c>
      <c r="D175"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2</v>
      </c>
      <c r="E175" s="34" t="e">
        <f>INDEX(Tabel_forfaits_Cebeon[afgerond],MATCH(Tabel_forfaits[[#This Row],[Zaakcode]],Tabel_forfaits_Cebeon[Zaakcode],0))</f>
        <v>#N/A</v>
      </c>
      <c r="F175" s="34">
        <f>IFERROR( INDEX(Tabel_kleine_n[voorstel nieuw forfait],MATCH(Tabel_forfaits[[#This Row],[Zaakcode]],Tabel_kleine_n[Kategorie],0)), 0)</f>
        <v>0</v>
      </c>
      <c r="G175"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2</v>
      </c>
      <c r="H175" s="86"/>
      <c r="P175" s="26" t="s">
        <v>380</v>
      </c>
      <c r="Q175" s="23"/>
      <c r="R175" s="23"/>
      <c r="S175" s="23"/>
      <c r="T175" s="32"/>
    </row>
    <row r="176" spans="2:20" x14ac:dyDescent="0.3">
      <c r="B176" s="1" t="s">
        <v>184</v>
      </c>
      <c r="C176" s="34">
        <f>INDEX(Tabel_forfaits_huidig[Afgiftedatum t/m 31-12-2021],MATCH(Tabel_forfaits[[#This Row],[Zaakcode]],Tabel_forfaits_huidig[Zaakcode],0))</f>
        <v>4</v>
      </c>
      <c r="D176"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4</v>
      </c>
      <c r="E176" s="34" t="e">
        <f>INDEX(Tabel_forfaits_Cebeon[afgerond],MATCH(Tabel_forfaits[[#This Row],[Zaakcode]],Tabel_forfaits_Cebeon[Zaakcode],0))</f>
        <v>#N/A</v>
      </c>
      <c r="F176" s="34">
        <f>IFERROR( INDEX(Tabel_kleine_n[voorstel nieuw forfait],MATCH(Tabel_forfaits[[#This Row],[Zaakcode]],Tabel_kleine_n[Kategorie],0)), 0)</f>
        <v>0</v>
      </c>
      <c r="G176"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4</v>
      </c>
      <c r="H176" s="86"/>
      <c r="P176" s="1" t="s">
        <v>159</v>
      </c>
      <c r="Q176" s="23" t="s">
        <v>381</v>
      </c>
      <c r="R176" s="23">
        <v>2</v>
      </c>
      <c r="S176" s="23">
        <v>2</v>
      </c>
      <c r="T176" s="32">
        <v>2</v>
      </c>
    </row>
    <row r="177" spans="2:20" x14ac:dyDescent="0.3">
      <c r="B177" s="1" t="s">
        <v>183</v>
      </c>
      <c r="C177" s="34">
        <f>INDEX(Tabel_forfaits_huidig[Afgiftedatum t/m 31-12-2021],MATCH(Tabel_forfaits[[#This Row],[Zaakcode]],Tabel_forfaits_huidig[Zaakcode],0))</f>
        <v>8</v>
      </c>
      <c r="D177" s="34">
        <f>IF(INDEX(Tabel_forfaits_huidig[Afgiftedatum m.i.v. 1-1-2022],MATCH(Tabel_forfaits[[#This Row],[Zaakcode]],Tabel_forfaits_huidig[Zaakcode],0))="n.v.t.",Tabel_forfaits[[#This Row],[forfait voor 2022]],  INDEX(Tabel_forfaits_huidig[Afgiftedatum m.i.v. 1-1-2022],MATCH(Tabel_forfaits[[#This Row],[Zaakcode]],Tabel_forfaits_huidig[Zaakcode],0)))</f>
        <v>10</v>
      </c>
      <c r="E177" s="34" t="e">
        <f>INDEX(Tabel_forfaits_Cebeon[afgerond],MATCH(Tabel_forfaits[[#This Row],[Zaakcode]],Tabel_forfaits_Cebeon[Zaakcode],0))</f>
        <v>#N/A</v>
      </c>
      <c r="F177" s="34">
        <f>IFERROR( INDEX(Tabel_kleine_n[voorstel nieuw forfait],MATCH(Tabel_forfaits[[#This Row],[Zaakcode]],Tabel_kleine_n[Kategorie],0)), 0)</f>
        <v>0</v>
      </c>
      <c r="G177" s="34">
        <f>IFERROR(IF(AND(Tabel_forfaits[[#This Row],[forfait advies VdM II]]&gt;0,Tabel_forfaits[[#This Row],[forfait toevoegingen kleine n]]=0),Tabel_forfaits[[#This Row],[forfait advies VdM II]], IF(Tabel_forfaits[[#This Row],[forfait toevoegingen kleine n]]&gt;0,Tabel_forfaits[[#This Row],[forfait toevoegingen kleine n]], Tabel_forfaits[[#This Row],[forfait vanaf 2022]])), Tabel_forfaits[[#This Row],[forfait vanaf 2022]])</f>
        <v>10</v>
      </c>
      <c r="H177" s="86"/>
      <c r="P177" s="1" t="s">
        <v>184</v>
      </c>
      <c r="Q177" s="23" t="s">
        <v>382</v>
      </c>
      <c r="R177" s="23">
        <v>4</v>
      </c>
      <c r="S177" s="23">
        <v>4</v>
      </c>
      <c r="T177" s="32">
        <v>4</v>
      </c>
    </row>
    <row r="178" spans="2:20" x14ac:dyDescent="0.3">
      <c r="H178" s="86"/>
      <c r="P178" s="1" t="s">
        <v>183</v>
      </c>
      <c r="Q178" s="23" t="s">
        <v>383</v>
      </c>
      <c r="R178" s="23">
        <v>8</v>
      </c>
      <c r="S178" s="23">
        <v>10</v>
      </c>
      <c r="T178" s="32">
        <v>10</v>
      </c>
    </row>
    <row r="179" spans="2:20" x14ac:dyDescent="0.3">
      <c r="H179" s="86"/>
    </row>
    <row r="180" spans="2:20" x14ac:dyDescent="0.3">
      <c r="H180" s="86"/>
    </row>
    <row r="181" spans="2:20" x14ac:dyDescent="0.3">
      <c r="H181" s="86"/>
    </row>
    <row r="182" spans="2:20" x14ac:dyDescent="0.3">
      <c r="H182" s="86"/>
    </row>
    <row r="183" spans="2:20" x14ac:dyDescent="0.3">
      <c r="H183" s="86"/>
    </row>
  </sheetData>
  <conditionalFormatting sqref="F7:G177">
    <cfRule type="cellIs" dxfId="0" priority="1" operator="equal">
      <formula>0</formula>
    </cfRule>
  </conditionalFormatting>
  <hyperlinks>
    <hyperlink ref="S4" r:id="rId1" display="https://www.rvr.org/kenniswijzer/zoeken-kenniswijzer/toevoegen/alle-rechtsterreinen/punten-zaakcodelijst/" xr:uid="{D471B58B-B2DC-4C89-87B9-137CD9123382}"/>
  </hyperlinks>
  <pageMargins left="0.7" right="0.7" top="0.75" bottom="0.75" header="0.3" footer="0.3"/>
  <pageSetup paperSize="9" orientation="portrait" r:id="rId2"/>
  <legacyDrawing r:id="rId3"/>
  <tableParts count="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47A1-B020-49E9-9BBF-EAA1A473E726}">
  <dimension ref="A1:F51"/>
  <sheetViews>
    <sheetView showGridLines="0" workbookViewId="0"/>
  </sheetViews>
  <sheetFormatPr defaultColWidth="9.1796875" defaultRowHeight="13" x14ac:dyDescent="0.3"/>
  <cols>
    <col min="1" max="1" width="11.7265625" style="1" customWidth="1"/>
    <col min="2" max="2" width="43.453125" style="1" bestFit="1" customWidth="1"/>
    <col min="3" max="3" width="13.1796875" style="1" customWidth="1"/>
    <col min="4" max="4" width="20.1796875" style="1" customWidth="1"/>
    <col min="5" max="5" width="29.453125" style="1" customWidth="1"/>
    <col min="6" max="16384" width="9.1796875" style="1"/>
  </cols>
  <sheetData>
    <row r="1" spans="1:6" ht="15" thickBot="1" x14ac:dyDescent="0.35">
      <c r="C1" s="204"/>
      <c r="D1" s="205"/>
    </row>
    <row r="2" spans="1:6" ht="27.75" customHeight="1" thickBot="1" x14ac:dyDescent="0.35">
      <c r="A2" s="221" t="s">
        <v>509</v>
      </c>
      <c r="B2" s="222" t="s">
        <v>186</v>
      </c>
      <c r="C2" s="223" t="s">
        <v>510</v>
      </c>
      <c r="D2" s="224" t="s">
        <v>511</v>
      </c>
    </row>
    <row r="3" spans="1:6" ht="14.5" x14ac:dyDescent="0.3">
      <c r="A3" s="216" t="s">
        <v>8</v>
      </c>
      <c r="B3" s="206" t="s">
        <v>512</v>
      </c>
      <c r="C3" s="207">
        <v>23</v>
      </c>
      <c r="D3" s="231">
        <f>Tabel_kleine_n[[#This Row],[huidig forfait]]</f>
        <v>23</v>
      </c>
      <c r="E3" s="209" t="s">
        <v>513</v>
      </c>
      <c r="F3" s="1" t="s">
        <v>706</v>
      </c>
    </row>
    <row r="4" spans="1:6" ht="14.5" x14ac:dyDescent="0.3">
      <c r="A4" s="217" t="s">
        <v>9</v>
      </c>
      <c r="B4" s="210" t="s">
        <v>291</v>
      </c>
      <c r="C4" s="211">
        <v>11</v>
      </c>
      <c r="D4" s="208">
        <v>13</v>
      </c>
    </row>
    <row r="5" spans="1:6" ht="14.5" x14ac:dyDescent="0.3">
      <c r="A5" s="217" t="s">
        <v>11</v>
      </c>
      <c r="B5" s="210" t="s">
        <v>514</v>
      </c>
      <c r="C5" s="211">
        <v>20</v>
      </c>
      <c r="D5" s="212">
        <v>20</v>
      </c>
    </row>
    <row r="6" spans="1:6" ht="29.25" customHeight="1" x14ac:dyDescent="0.3">
      <c r="A6" s="217" t="s">
        <v>13</v>
      </c>
      <c r="B6" s="210" t="s">
        <v>295</v>
      </c>
      <c r="C6" s="211">
        <v>31</v>
      </c>
      <c r="D6" s="212">
        <v>31</v>
      </c>
    </row>
    <row r="7" spans="1:6" ht="26" x14ac:dyDescent="0.3">
      <c r="A7" s="218" t="s">
        <v>15</v>
      </c>
      <c r="B7" s="213" t="s">
        <v>515</v>
      </c>
      <c r="C7" s="211">
        <v>8</v>
      </c>
      <c r="D7" s="212">
        <v>8</v>
      </c>
    </row>
    <row r="8" spans="1:6" ht="14.5" x14ac:dyDescent="0.3">
      <c r="A8" s="217" t="s">
        <v>16</v>
      </c>
      <c r="B8" s="210" t="s">
        <v>299</v>
      </c>
      <c r="C8" s="211">
        <v>10</v>
      </c>
      <c r="D8" s="212">
        <v>11</v>
      </c>
    </row>
    <row r="9" spans="1:6" ht="14.5" x14ac:dyDescent="0.3">
      <c r="A9" s="217" t="s">
        <v>18</v>
      </c>
      <c r="B9" s="210" t="s">
        <v>302</v>
      </c>
      <c r="C9" s="211">
        <v>10</v>
      </c>
      <c r="D9" s="212">
        <v>11</v>
      </c>
    </row>
    <row r="10" spans="1:6" x14ac:dyDescent="0.3">
      <c r="A10" s="218" t="s">
        <v>19</v>
      </c>
      <c r="B10" s="213" t="s">
        <v>516</v>
      </c>
      <c r="C10" s="211">
        <v>15</v>
      </c>
      <c r="D10" s="212">
        <v>15</v>
      </c>
    </row>
    <row r="11" spans="1:6" ht="14.5" x14ac:dyDescent="0.3">
      <c r="A11" s="217" t="s">
        <v>25</v>
      </c>
      <c r="B11" s="210" t="s">
        <v>310</v>
      </c>
      <c r="C11" s="211">
        <v>9</v>
      </c>
      <c r="D11" s="212">
        <v>9</v>
      </c>
    </row>
    <row r="12" spans="1:6" ht="14.5" x14ac:dyDescent="0.3">
      <c r="A12" s="217" t="s">
        <v>26</v>
      </c>
      <c r="B12" s="210" t="s">
        <v>311</v>
      </c>
      <c r="C12" s="211">
        <v>25</v>
      </c>
      <c r="D12" s="212">
        <v>25</v>
      </c>
    </row>
    <row r="13" spans="1:6" ht="14.5" x14ac:dyDescent="0.3">
      <c r="A13" s="217" t="s">
        <v>27</v>
      </c>
      <c r="B13" s="210" t="s">
        <v>313</v>
      </c>
      <c r="C13" s="211">
        <v>9</v>
      </c>
      <c r="D13" s="212">
        <v>9</v>
      </c>
    </row>
    <row r="14" spans="1:6" ht="14.5" x14ac:dyDescent="0.3">
      <c r="A14" s="217" t="s">
        <v>28</v>
      </c>
      <c r="B14" s="210" t="s">
        <v>314</v>
      </c>
      <c r="C14" s="211">
        <v>21</v>
      </c>
      <c r="D14" s="212">
        <v>21</v>
      </c>
    </row>
    <row r="15" spans="1:6" ht="14.5" x14ac:dyDescent="0.3">
      <c r="A15" s="217" t="s">
        <v>31</v>
      </c>
      <c r="B15" s="210" t="s">
        <v>517</v>
      </c>
      <c r="C15" s="211">
        <v>15</v>
      </c>
      <c r="D15" s="212">
        <v>18</v>
      </c>
      <c r="E15" s="1" t="s">
        <v>707</v>
      </c>
    </row>
    <row r="16" spans="1:6" ht="15.75" customHeight="1" x14ac:dyDescent="0.3">
      <c r="A16" s="219" t="s">
        <v>33</v>
      </c>
      <c r="B16" s="214" t="s">
        <v>518</v>
      </c>
      <c r="C16" s="211">
        <v>19</v>
      </c>
      <c r="D16" s="212">
        <v>19</v>
      </c>
    </row>
    <row r="17" spans="1:5" ht="14.5" x14ac:dyDescent="0.3">
      <c r="A17" s="217" t="s">
        <v>34</v>
      </c>
      <c r="B17" s="210" t="s">
        <v>324</v>
      </c>
      <c r="C17" s="211">
        <v>11</v>
      </c>
      <c r="D17" s="212">
        <v>11</v>
      </c>
    </row>
    <row r="18" spans="1:5" ht="14.5" x14ac:dyDescent="0.3">
      <c r="A18" s="217" t="s">
        <v>35</v>
      </c>
      <c r="B18" s="210" t="s">
        <v>341</v>
      </c>
      <c r="C18" s="211">
        <v>16</v>
      </c>
      <c r="D18" s="212">
        <v>17</v>
      </c>
    </row>
    <row r="19" spans="1:5" ht="14.5" x14ac:dyDescent="0.3">
      <c r="A19" s="217" t="s">
        <v>36</v>
      </c>
      <c r="B19" s="210" t="s">
        <v>296</v>
      </c>
      <c r="C19" s="211">
        <v>17</v>
      </c>
      <c r="D19" s="212">
        <v>17</v>
      </c>
    </row>
    <row r="20" spans="1:5" ht="14.5" x14ac:dyDescent="0.3">
      <c r="A20" s="217" t="s">
        <v>56</v>
      </c>
      <c r="B20" s="210" t="s">
        <v>329</v>
      </c>
      <c r="C20" s="211">
        <v>16</v>
      </c>
      <c r="D20" s="212">
        <v>16</v>
      </c>
    </row>
    <row r="21" spans="1:5" ht="14.5" x14ac:dyDescent="0.3">
      <c r="A21" s="217" t="s">
        <v>58</v>
      </c>
      <c r="B21" s="210" t="s">
        <v>331</v>
      </c>
      <c r="C21" s="211">
        <v>17</v>
      </c>
      <c r="D21" s="212">
        <v>19</v>
      </c>
    </row>
    <row r="22" spans="1:5" ht="14.5" x14ac:dyDescent="0.3">
      <c r="A22" s="217" t="s">
        <v>61</v>
      </c>
      <c r="B22" s="210" t="s">
        <v>333</v>
      </c>
      <c r="C22" s="211">
        <v>18</v>
      </c>
      <c r="D22" s="230">
        <f>Tabel_kleine_n[[#This Row],[huidig forfait]]</f>
        <v>18</v>
      </c>
      <c r="E22" s="1" t="s">
        <v>708</v>
      </c>
    </row>
    <row r="23" spans="1:5" x14ac:dyDescent="0.3">
      <c r="A23" s="218" t="s">
        <v>67</v>
      </c>
      <c r="B23" s="213" t="s">
        <v>519</v>
      </c>
      <c r="C23" s="211">
        <v>14</v>
      </c>
      <c r="D23" s="212">
        <v>14</v>
      </c>
    </row>
    <row r="24" spans="1:5" x14ac:dyDescent="0.3">
      <c r="A24" s="220" t="s">
        <v>71</v>
      </c>
      <c r="B24" s="215" t="s">
        <v>520</v>
      </c>
      <c r="C24" s="211">
        <v>13</v>
      </c>
      <c r="D24" s="212">
        <v>13</v>
      </c>
    </row>
    <row r="25" spans="1:5" ht="14.5" x14ac:dyDescent="0.3">
      <c r="A25" s="217" t="s">
        <v>80</v>
      </c>
      <c r="B25" s="210" t="s">
        <v>521</v>
      </c>
      <c r="C25" s="211">
        <v>21</v>
      </c>
      <c r="D25" s="212">
        <v>22</v>
      </c>
    </row>
    <row r="26" spans="1:5" ht="14.5" x14ac:dyDescent="0.3">
      <c r="A26" s="217" t="s">
        <v>81</v>
      </c>
      <c r="B26" s="210" t="s">
        <v>522</v>
      </c>
      <c r="C26" s="211">
        <v>11</v>
      </c>
      <c r="D26" s="212">
        <v>11</v>
      </c>
    </row>
    <row r="27" spans="1:5" ht="14.5" x14ac:dyDescent="0.3">
      <c r="A27" s="217" t="s">
        <v>83</v>
      </c>
      <c r="B27" s="210" t="s">
        <v>523</v>
      </c>
      <c r="C27" s="211">
        <v>8</v>
      </c>
      <c r="D27" s="212">
        <v>9</v>
      </c>
    </row>
    <row r="28" spans="1:5" ht="14.5" x14ac:dyDescent="0.3">
      <c r="A28" s="217" t="s">
        <v>87</v>
      </c>
      <c r="B28" s="210" t="s">
        <v>524</v>
      </c>
      <c r="C28" s="211">
        <v>15</v>
      </c>
      <c r="D28" s="212">
        <v>17</v>
      </c>
    </row>
    <row r="29" spans="1:5" ht="14.5" x14ac:dyDescent="0.3">
      <c r="A29" s="217" t="s">
        <v>97</v>
      </c>
      <c r="B29" s="210" t="s">
        <v>525</v>
      </c>
      <c r="C29" s="211">
        <v>9</v>
      </c>
      <c r="D29" s="212">
        <v>10</v>
      </c>
    </row>
    <row r="30" spans="1:5" ht="14.5" x14ac:dyDescent="0.3">
      <c r="A30" s="217" t="s">
        <v>99</v>
      </c>
      <c r="B30" s="210" t="s">
        <v>212</v>
      </c>
      <c r="C30" s="211">
        <v>9</v>
      </c>
      <c r="D30" s="212">
        <v>11</v>
      </c>
    </row>
    <row r="31" spans="1:5" x14ac:dyDescent="0.3">
      <c r="A31" s="218" t="s">
        <v>107</v>
      </c>
      <c r="B31" s="213" t="s">
        <v>526</v>
      </c>
      <c r="C31" s="211">
        <v>11</v>
      </c>
      <c r="D31" s="212">
        <v>11</v>
      </c>
    </row>
    <row r="32" spans="1:5" ht="14.5" x14ac:dyDescent="0.3">
      <c r="A32" s="217" t="s">
        <v>108</v>
      </c>
      <c r="B32" s="210" t="s">
        <v>527</v>
      </c>
      <c r="C32" s="211">
        <v>10</v>
      </c>
      <c r="D32" s="212">
        <v>10</v>
      </c>
    </row>
    <row r="33" spans="1:4" ht="14.5" x14ac:dyDescent="0.3">
      <c r="A33" s="217" t="s">
        <v>109</v>
      </c>
      <c r="B33" s="210" t="s">
        <v>528</v>
      </c>
      <c r="C33" s="211">
        <v>6</v>
      </c>
      <c r="D33" s="212">
        <v>6</v>
      </c>
    </row>
    <row r="34" spans="1:4" ht="14.5" x14ac:dyDescent="0.3">
      <c r="A34" s="217" t="s">
        <v>112</v>
      </c>
      <c r="B34" s="210" t="s">
        <v>529</v>
      </c>
      <c r="C34" s="211">
        <v>10</v>
      </c>
      <c r="D34" s="212">
        <v>10</v>
      </c>
    </row>
    <row r="35" spans="1:4" ht="14.5" x14ac:dyDescent="0.3">
      <c r="A35" s="217" t="s">
        <v>113</v>
      </c>
      <c r="B35" s="210" t="s">
        <v>530</v>
      </c>
      <c r="C35" s="211">
        <v>5</v>
      </c>
      <c r="D35" s="212">
        <v>9</v>
      </c>
    </row>
    <row r="36" spans="1:4" x14ac:dyDescent="0.3">
      <c r="A36" s="219" t="s">
        <v>114</v>
      </c>
      <c r="B36" s="214" t="s">
        <v>531</v>
      </c>
      <c r="C36" s="211">
        <v>6</v>
      </c>
      <c r="D36" s="212">
        <v>6</v>
      </c>
    </row>
    <row r="37" spans="1:4" ht="14.5" x14ac:dyDescent="0.3">
      <c r="A37" s="217" t="s">
        <v>115</v>
      </c>
      <c r="B37" s="210" t="s">
        <v>532</v>
      </c>
      <c r="C37" s="211">
        <v>4</v>
      </c>
      <c r="D37" s="212">
        <v>7</v>
      </c>
    </row>
    <row r="38" spans="1:4" x14ac:dyDescent="0.3">
      <c r="A38" s="219" t="s">
        <v>116</v>
      </c>
      <c r="B38" s="214" t="s">
        <v>533</v>
      </c>
      <c r="C38" s="211">
        <v>7</v>
      </c>
      <c r="D38" s="212">
        <v>7</v>
      </c>
    </row>
    <row r="39" spans="1:4" x14ac:dyDescent="0.3">
      <c r="A39" s="219" t="s">
        <v>117</v>
      </c>
      <c r="B39" s="214" t="s">
        <v>534</v>
      </c>
      <c r="C39" s="211">
        <v>8</v>
      </c>
      <c r="D39" s="212">
        <v>8</v>
      </c>
    </row>
    <row r="40" spans="1:4" x14ac:dyDescent="0.3">
      <c r="A40" s="218" t="s">
        <v>118</v>
      </c>
      <c r="B40" s="213" t="s">
        <v>535</v>
      </c>
      <c r="C40" s="211">
        <v>5</v>
      </c>
      <c r="D40" s="212">
        <v>5</v>
      </c>
    </row>
    <row r="41" spans="1:4" x14ac:dyDescent="0.3">
      <c r="A41" s="218" t="s">
        <v>119</v>
      </c>
      <c r="B41" s="213" t="s">
        <v>536</v>
      </c>
      <c r="C41" s="211">
        <v>7</v>
      </c>
      <c r="D41" s="212">
        <v>7</v>
      </c>
    </row>
    <row r="42" spans="1:4" x14ac:dyDescent="0.3">
      <c r="A42" s="219" t="s">
        <v>120</v>
      </c>
      <c r="B42" s="214" t="s">
        <v>537</v>
      </c>
      <c r="C42" s="211">
        <v>4</v>
      </c>
      <c r="D42" s="212">
        <v>4</v>
      </c>
    </row>
    <row r="43" spans="1:4" x14ac:dyDescent="0.3">
      <c r="A43" s="218" t="s">
        <v>121</v>
      </c>
      <c r="B43" s="213" t="s">
        <v>535</v>
      </c>
      <c r="C43" s="211">
        <v>8</v>
      </c>
      <c r="D43" s="212">
        <v>8</v>
      </c>
    </row>
    <row r="44" spans="1:4" x14ac:dyDescent="0.3">
      <c r="A44" s="219" t="s">
        <v>122</v>
      </c>
      <c r="B44" s="214" t="s">
        <v>538</v>
      </c>
      <c r="C44" s="211">
        <v>5</v>
      </c>
      <c r="D44" s="212">
        <v>5</v>
      </c>
    </row>
    <row r="45" spans="1:4" x14ac:dyDescent="0.3">
      <c r="A45" s="218" t="s">
        <v>123</v>
      </c>
      <c r="B45" s="213" t="s">
        <v>539</v>
      </c>
      <c r="C45" s="211">
        <v>2</v>
      </c>
      <c r="D45" s="212">
        <v>2</v>
      </c>
    </row>
    <row r="46" spans="1:4" x14ac:dyDescent="0.3">
      <c r="A46" s="219" t="s">
        <v>126</v>
      </c>
      <c r="B46" s="214" t="s">
        <v>540</v>
      </c>
      <c r="C46" s="211">
        <v>10</v>
      </c>
      <c r="D46" s="212">
        <v>10</v>
      </c>
    </row>
    <row r="47" spans="1:4" ht="14.5" x14ac:dyDescent="0.3">
      <c r="A47" s="217" t="s">
        <v>137</v>
      </c>
      <c r="B47" s="210" t="s">
        <v>275</v>
      </c>
      <c r="C47" s="211">
        <v>6</v>
      </c>
      <c r="D47" s="212">
        <v>6</v>
      </c>
    </row>
    <row r="48" spans="1:4" ht="14.5" x14ac:dyDescent="0.3">
      <c r="A48" s="217" t="s">
        <v>139</v>
      </c>
      <c r="B48" s="210" t="s">
        <v>541</v>
      </c>
      <c r="C48" s="211">
        <v>4</v>
      </c>
      <c r="D48" s="212">
        <v>6</v>
      </c>
    </row>
    <row r="49" spans="1:4" x14ac:dyDescent="0.3">
      <c r="A49" s="219" t="s">
        <v>144</v>
      </c>
      <c r="B49" s="214" t="s">
        <v>542</v>
      </c>
      <c r="C49" s="211">
        <v>9</v>
      </c>
      <c r="D49" s="212">
        <v>9</v>
      </c>
    </row>
    <row r="50" spans="1:4" x14ac:dyDescent="0.3">
      <c r="A50" s="219" t="s">
        <v>147</v>
      </c>
      <c r="B50" s="214" t="s">
        <v>543</v>
      </c>
      <c r="C50" s="211">
        <v>6</v>
      </c>
      <c r="D50" s="212">
        <v>6</v>
      </c>
    </row>
    <row r="51" spans="1:4" ht="14.5" x14ac:dyDescent="0.3">
      <c r="A51" s="225" t="s">
        <v>148</v>
      </c>
      <c r="B51" s="226" t="s">
        <v>544</v>
      </c>
      <c r="C51" s="227">
        <v>6</v>
      </c>
      <c r="D51" s="228">
        <v>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67A2-CCAF-4A00-AA54-AF5FD3F12121}">
  <dimension ref="B2:G71"/>
  <sheetViews>
    <sheetView showGridLines="0" zoomScaleNormal="100" workbookViewId="0"/>
  </sheetViews>
  <sheetFormatPr defaultColWidth="9.1796875" defaultRowHeight="13" x14ac:dyDescent="0.3"/>
  <cols>
    <col min="1" max="1" width="4.6328125" style="1" customWidth="1"/>
    <col min="2" max="2" width="28.453125" style="1" customWidth="1"/>
    <col min="3" max="5" width="16.1796875" style="1" customWidth="1"/>
    <col min="6" max="7" width="16.453125" style="1" customWidth="1"/>
    <col min="8" max="10" width="16.1796875" style="1" customWidth="1"/>
    <col min="11" max="16384" width="9.1796875" style="1"/>
  </cols>
  <sheetData>
    <row r="2" spans="2:7" ht="15.5" x14ac:dyDescent="0.35">
      <c r="B2" s="370" t="s">
        <v>713</v>
      </c>
    </row>
    <row r="3" spans="2:7" ht="13.5" thickBot="1" x14ac:dyDescent="0.35"/>
    <row r="4" spans="2:7" x14ac:dyDescent="0.3">
      <c r="B4" s="382" t="s">
        <v>507</v>
      </c>
      <c r="C4" s="379">
        <v>2022</v>
      </c>
      <c r="D4" s="380"/>
      <c r="E4" s="379">
        <v>2023</v>
      </c>
      <c r="F4" s="381"/>
    </row>
    <row r="5" spans="2:7" ht="26" x14ac:dyDescent="0.3">
      <c r="B5" s="383"/>
      <c r="C5" s="186" t="s">
        <v>505</v>
      </c>
      <c r="D5" s="187" t="s">
        <v>504</v>
      </c>
      <c r="E5" s="186" t="str">
        <f>C5</f>
        <v>vastgestelde punten</v>
      </c>
      <c r="F5" s="188" t="str">
        <f>D5</f>
        <v>kosten aanpassen tarief</v>
      </c>
      <c r="G5" s="21"/>
    </row>
    <row r="6" spans="2:7" x14ac:dyDescent="0.3">
      <c r="B6" s="189" t="s">
        <v>494</v>
      </c>
      <c r="C6" s="183">
        <f>'nieuw tarief'!D31</f>
        <v>3017379</v>
      </c>
      <c r="D6" s="184"/>
      <c r="E6" s="183">
        <f>'nieuw tarief'!D47</f>
        <v>3355570</v>
      </c>
      <c r="F6" s="190"/>
    </row>
    <row r="7" spans="2:7" x14ac:dyDescent="0.3">
      <c r="B7" s="191" t="s">
        <v>498</v>
      </c>
      <c r="C7" s="183">
        <f>C6-C8</f>
        <v>2768466</v>
      </c>
      <c r="D7" s="184">
        <f>C7*tarief_verhoging</f>
        <v>4890772.0355999516</v>
      </c>
      <c r="E7" s="183">
        <f>E6-E8</f>
        <v>3098347</v>
      </c>
      <c r="F7" s="192">
        <f>E7*tarief_verhoging</f>
        <v>5473539.8101999462</v>
      </c>
    </row>
    <row r="8" spans="2:7" x14ac:dyDescent="0.3">
      <c r="B8" s="191" t="s">
        <v>506</v>
      </c>
      <c r="C8" s="183">
        <f>'nieuw tarief'!D27</f>
        <v>248913</v>
      </c>
      <c r="D8" s="184">
        <f>C8*tarief_verhoging*tarief_EXU_straf</f>
        <v>419941.86903899588</v>
      </c>
      <c r="E8" s="183">
        <f>'nieuw tarief'!D43</f>
        <v>257223</v>
      </c>
      <c r="F8" s="192">
        <f>E8*tarief_verhoging*tarief_EXU_straf</f>
        <v>433961.6949689957</v>
      </c>
    </row>
    <row r="9" spans="2:7" x14ac:dyDescent="0.3">
      <c r="B9" s="191"/>
      <c r="C9" s="183"/>
      <c r="D9" s="184"/>
      <c r="E9" s="183"/>
      <c r="F9" s="192"/>
    </row>
    <row r="10" spans="2:7" x14ac:dyDescent="0.3">
      <c r="B10" s="189" t="s">
        <v>495</v>
      </c>
      <c r="C10" s="183"/>
      <c r="D10" s="184"/>
      <c r="E10" s="183"/>
      <c r="F10" s="192"/>
    </row>
    <row r="11" spans="2:7" x14ac:dyDescent="0.3">
      <c r="B11" s="191" t="s">
        <v>496</v>
      </c>
      <c r="C11" s="183">
        <f>SUM(Tabel_prc_2022[procedure - totaal extra punten toev. VdM II t.o.v. huidig])</f>
        <v>78999</v>
      </c>
      <c r="D11" s="184">
        <f>C11*tarief_verhoging</f>
        <v>139559.63339999862</v>
      </c>
      <c r="E11" s="183">
        <f>SUM(Tabel_prc_2023[procedure - totaal extra punten toev. VdM II t.o.v. huidig])</f>
        <v>89662.5</v>
      </c>
      <c r="F11" s="192">
        <f>E11*tarief_verhoging</f>
        <v>158397.77249999845</v>
      </c>
    </row>
    <row r="12" spans="2:7" x14ac:dyDescent="0.3">
      <c r="B12" s="191" t="s">
        <v>497</v>
      </c>
      <c r="C12" s="183">
        <f>SUM(Tabel_toeslagen[extra punten toesl. door verhoging 2022]) * knop_toeslagen</f>
        <v>35218.5</v>
      </c>
      <c r="D12" s="184">
        <f>C12*tarief_verhoging</f>
        <v>62217.002099999387</v>
      </c>
      <c r="E12" s="183">
        <f>SUM(Tabel_toeslagen[extra punten toesl. door verhoging 2023]) * knop_toeslagen</f>
        <v>41124</v>
      </c>
      <c r="F12" s="192">
        <f>E12*tarief_verhoging</f>
        <v>72649.658399999287</v>
      </c>
    </row>
    <row r="13" spans="2:7" x14ac:dyDescent="0.3">
      <c r="B13" s="191" t="s">
        <v>680</v>
      </c>
      <c r="C13" s="183">
        <f>opvolging!I117 * knop_opvolging</f>
        <v>0</v>
      </c>
      <c r="D13" s="184">
        <f>C13*tarief_verhoging</f>
        <v>0</v>
      </c>
      <c r="E13" s="183">
        <f>opvolging!S117 * knop_opvolging</f>
        <v>0</v>
      </c>
      <c r="F13" s="192">
        <f>E13*tarief_verhoging</f>
        <v>0</v>
      </c>
    </row>
    <row r="14" spans="2:7" ht="13.5" thickBot="1" x14ac:dyDescent="0.35">
      <c r="B14" s="193" t="s">
        <v>502</v>
      </c>
      <c r="C14" s="194"/>
      <c r="D14" s="195">
        <f>SUM(D7:D8,D11:D13)</f>
        <v>5512490.5401389459</v>
      </c>
      <c r="E14" s="194"/>
      <c r="F14" s="196">
        <f>SUM(F7:F8,F11:F13)</f>
        <v>6138548.936068939</v>
      </c>
    </row>
    <row r="15" spans="2:7" x14ac:dyDescent="0.3">
      <c r="B15" s="118"/>
      <c r="C15" s="182"/>
      <c r="D15" s="181"/>
      <c r="E15" s="182"/>
      <c r="F15" s="181"/>
    </row>
    <row r="16" spans="2:7" x14ac:dyDescent="0.3">
      <c r="B16" s="118"/>
      <c r="D16" s="3"/>
      <c r="G16" s="3"/>
    </row>
    <row r="17" spans="2:5" x14ac:dyDescent="0.3">
      <c r="B17" s="19" t="s">
        <v>487</v>
      </c>
    </row>
    <row r="18" spans="2:5" ht="39" x14ac:dyDescent="0.3">
      <c r="B18" s="122" t="s">
        <v>458</v>
      </c>
      <c r="C18" s="123" t="s">
        <v>456</v>
      </c>
      <c r="D18" s="124" t="s">
        <v>457</v>
      </c>
      <c r="E18" s="4"/>
    </row>
    <row r="19" spans="2:5" x14ac:dyDescent="0.3">
      <c r="B19" s="120" t="s">
        <v>459</v>
      </c>
      <c r="C19" s="148">
        <f>C54+C59</f>
        <v>12776</v>
      </c>
      <c r="D19" s="151">
        <f>D54+D59</f>
        <v>50300</v>
      </c>
    </row>
    <row r="20" spans="2:5" x14ac:dyDescent="0.3">
      <c r="B20" s="120" t="s">
        <v>460</v>
      </c>
      <c r="C20" s="149">
        <f>C55+C61</f>
        <v>29028</v>
      </c>
      <c r="D20" s="152">
        <f>D55+D61</f>
        <v>255904</v>
      </c>
    </row>
    <row r="21" spans="2:5" x14ac:dyDescent="0.3">
      <c r="B21" s="120" t="s">
        <v>159</v>
      </c>
      <c r="C21" s="149">
        <f t="shared" ref="C21:D23" si="0">C56</f>
        <v>10553</v>
      </c>
      <c r="D21" s="152">
        <f t="shared" si="0"/>
        <v>21405</v>
      </c>
    </row>
    <row r="22" spans="2:5" x14ac:dyDescent="0.3">
      <c r="B22" s="120" t="s">
        <v>160</v>
      </c>
      <c r="C22" s="149">
        <f t="shared" si="0"/>
        <v>11424</v>
      </c>
      <c r="D22" s="152">
        <f t="shared" si="0"/>
        <v>77012</v>
      </c>
    </row>
    <row r="23" spans="2:5" x14ac:dyDescent="0.3">
      <c r="B23" s="121" t="s">
        <v>455</v>
      </c>
      <c r="C23" s="150">
        <f t="shared" si="0"/>
        <v>256296</v>
      </c>
      <c r="D23" s="153">
        <f t="shared" si="0"/>
        <v>2023536</v>
      </c>
    </row>
    <row r="24" spans="2:5" x14ac:dyDescent="0.3">
      <c r="B24" s="119"/>
      <c r="C24" s="148"/>
      <c r="D24" s="151"/>
    </row>
    <row r="25" spans="2:5" x14ac:dyDescent="0.3">
      <c r="B25" s="120" t="s">
        <v>461</v>
      </c>
      <c r="C25" s="149">
        <f>C63</f>
        <v>6839</v>
      </c>
      <c r="D25" s="152">
        <v>309375</v>
      </c>
      <c r="E25" s="20" t="s">
        <v>714</v>
      </c>
    </row>
    <row r="26" spans="2:5" x14ac:dyDescent="0.3">
      <c r="B26" s="154" t="s">
        <v>492</v>
      </c>
      <c r="C26" s="149">
        <f>C64</f>
        <v>5376</v>
      </c>
      <c r="D26" s="152">
        <v>275329</v>
      </c>
      <c r="E26" s="20" t="s">
        <v>684</v>
      </c>
    </row>
    <row r="27" spans="2:5" x14ac:dyDescent="0.3">
      <c r="B27" s="155" t="s">
        <v>491</v>
      </c>
      <c r="C27" s="156"/>
      <c r="D27" s="157">
        <v>248913</v>
      </c>
      <c r="E27" s="20" t="s">
        <v>684</v>
      </c>
    </row>
    <row r="28" spans="2:5" x14ac:dyDescent="0.3">
      <c r="B28" s="155" t="s">
        <v>490</v>
      </c>
      <c r="C28" s="156"/>
      <c r="D28" s="157">
        <f>D26-D27</f>
        <v>26416</v>
      </c>
    </row>
    <row r="29" spans="2:5" x14ac:dyDescent="0.3">
      <c r="B29" s="154" t="s">
        <v>489</v>
      </c>
      <c r="C29" s="149">
        <f>C65</f>
        <v>1463</v>
      </c>
      <c r="D29" s="152">
        <v>34047</v>
      </c>
      <c r="E29" s="20" t="s">
        <v>715</v>
      </c>
    </row>
    <row r="30" spans="2:5" x14ac:dyDescent="0.3">
      <c r="B30" s="121" t="s">
        <v>462</v>
      </c>
      <c r="C30" s="150">
        <f>C67</f>
        <v>102991</v>
      </c>
      <c r="D30" s="153">
        <f>D67</f>
        <v>279847</v>
      </c>
    </row>
    <row r="31" spans="2:5" x14ac:dyDescent="0.3">
      <c r="B31" s="161" t="s">
        <v>500</v>
      </c>
      <c r="C31" s="162"/>
      <c r="D31" s="163">
        <f>SUM(D19:D23,D25,D30)</f>
        <v>3017379</v>
      </c>
    </row>
    <row r="33" spans="2:5" x14ac:dyDescent="0.3">
      <c r="B33" s="19" t="s">
        <v>488</v>
      </c>
    </row>
    <row r="34" spans="2:5" ht="39" x14ac:dyDescent="0.3">
      <c r="B34" s="122" t="s">
        <v>458</v>
      </c>
      <c r="C34" s="123" t="s">
        <v>456</v>
      </c>
      <c r="D34" s="124" t="s">
        <v>457</v>
      </c>
    </row>
    <row r="35" spans="2:5" x14ac:dyDescent="0.3">
      <c r="B35" s="120" t="s">
        <v>459</v>
      </c>
      <c r="C35" s="148">
        <f>E54+E59</f>
        <v>13181</v>
      </c>
      <c r="D35" s="151">
        <f>F54+F59</f>
        <v>51128</v>
      </c>
    </row>
    <row r="36" spans="2:5" x14ac:dyDescent="0.3">
      <c r="B36" s="120" t="s">
        <v>460</v>
      </c>
      <c r="C36" s="149">
        <f>E55+E61</f>
        <v>26572</v>
      </c>
      <c r="D36" s="152">
        <f>F55+F61</f>
        <v>249244</v>
      </c>
    </row>
    <row r="37" spans="2:5" x14ac:dyDescent="0.3">
      <c r="B37" s="120" t="s">
        <v>159</v>
      </c>
      <c r="C37" s="149">
        <f t="shared" ref="C37:D39" si="1">E56</f>
        <v>11813</v>
      </c>
      <c r="D37" s="152">
        <f t="shared" si="1"/>
        <v>24147</v>
      </c>
    </row>
    <row r="38" spans="2:5" x14ac:dyDescent="0.3">
      <c r="B38" s="120" t="s">
        <v>160</v>
      </c>
      <c r="C38" s="149">
        <f t="shared" si="1"/>
        <v>13534</v>
      </c>
      <c r="D38" s="152">
        <f t="shared" si="1"/>
        <v>98846</v>
      </c>
    </row>
    <row r="39" spans="2:5" x14ac:dyDescent="0.3">
      <c r="B39" s="121" t="s">
        <v>455</v>
      </c>
      <c r="C39" s="150">
        <f t="shared" si="1"/>
        <v>266705</v>
      </c>
      <c r="D39" s="153">
        <f t="shared" si="1"/>
        <v>2299768</v>
      </c>
    </row>
    <row r="40" spans="2:5" x14ac:dyDescent="0.3">
      <c r="B40" s="119"/>
      <c r="C40" s="148"/>
      <c r="D40" s="151"/>
    </row>
    <row r="41" spans="2:5" x14ac:dyDescent="0.3">
      <c r="B41" s="120" t="s">
        <v>461</v>
      </c>
      <c r="C41" s="149">
        <f>E63</f>
        <v>7070</v>
      </c>
      <c r="D41" s="152">
        <v>327708</v>
      </c>
      <c r="E41" s="20" t="str">
        <f>E25</f>
        <v>handmatig ingevoerd o.b.v. E63 zie voetnoot bij tabel</v>
      </c>
    </row>
    <row r="42" spans="2:5" x14ac:dyDescent="0.3">
      <c r="B42" s="120" t="str">
        <f>B26</f>
        <v>- waarvan straf</v>
      </c>
      <c r="C42" s="149">
        <f>E64</f>
        <v>5475</v>
      </c>
      <c r="D42" s="152">
        <v>289937</v>
      </c>
      <c r="E42" s="20" t="str">
        <f t="shared" ref="E42:E45" si="2">E26</f>
        <v>handmatig ingevoerd o.b.v. E64, zie voetnoot bij tabel</v>
      </c>
    </row>
    <row r="43" spans="2:5" x14ac:dyDescent="0.3">
      <c r="B43" s="155" t="str">
        <f>B27</f>
        <v>punten EXU straf (0,955 x tarief)</v>
      </c>
      <c r="C43" s="156"/>
      <c r="D43" s="157">
        <v>257223</v>
      </c>
      <c r="E43" s="20" t="str">
        <f t="shared" si="2"/>
        <v>handmatig ingevoerd o.b.v. E64, zie voetnoot bij tabel</v>
      </c>
    </row>
    <row r="44" spans="2:5" x14ac:dyDescent="0.3">
      <c r="B44" s="155" t="str">
        <f>B28</f>
        <v>punten EXU straf reistijd</v>
      </c>
      <c r="C44" s="156"/>
      <c r="D44" s="157">
        <f>D42-D43</f>
        <v>32714</v>
      </c>
      <c r="E44" s="20"/>
    </row>
    <row r="45" spans="2:5" x14ac:dyDescent="0.3">
      <c r="B45" s="120" t="str">
        <f>B29</f>
        <v>- waarvan geen straf</v>
      </c>
      <c r="C45" s="149">
        <f>E65</f>
        <v>1595</v>
      </c>
      <c r="D45" s="152">
        <v>37771</v>
      </c>
      <c r="E45" s="20" t="str">
        <f t="shared" si="2"/>
        <v>handmatig ingevoerd o.b.v. E66, zie voetnoot bij tabel</v>
      </c>
    </row>
    <row r="46" spans="2:5" x14ac:dyDescent="0.3">
      <c r="B46" s="121" t="s">
        <v>462</v>
      </c>
      <c r="C46" s="150">
        <f>E67</f>
        <v>107224</v>
      </c>
      <c r="D46" s="153">
        <f>F67</f>
        <v>304729</v>
      </c>
    </row>
    <row r="47" spans="2:5" x14ac:dyDescent="0.3">
      <c r="B47" s="161" t="s">
        <v>500</v>
      </c>
      <c r="C47" s="162"/>
      <c r="D47" s="163">
        <f>SUM(D35:D39,D41,D46)</f>
        <v>3355570</v>
      </c>
    </row>
    <row r="49" spans="2:6" ht="13.5" thickBot="1" x14ac:dyDescent="0.35">
      <c r="B49" s="1" t="s">
        <v>683</v>
      </c>
    </row>
    <row r="50" spans="2:6" x14ac:dyDescent="0.3">
      <c r="B50" s="388" t="s">
        <v>463</v>
      </c>
      <c r="C50" s="388" t="s">
        <v>464</v>
      </c>
      <c r="D50" s="132" t="s">
        <v>465</v>
      </c>
      <c r="E50" s="388" t="s">
        <v>464</v>
      </c>
      <c r="F50" s="132" t="s">
        <v>465</v>
      </c>
    </row>
    <row r="51" spans="2:6" ht="13.5" thickBot="1" x14ac:dyDescent="0.35">
      <c r="B51" s="389"/>
      <c r="C51" s="389"/>
      <c r="D51" s="133" t="s">
        <v>466</v>
      </c>
      <c r="E51" s="389"/>
      <c r="F51" s="133" t="s">
        <v>386</v>
      </c>
    </row>
    <row r="52" spans="2:6" ht="13.5" thickBot="1" x14ac:dyDescent="0.35">
      <c r="B52" s="134"/>
      <c r="C52" s="390">
        <v>2022</v>
      </c>
      <c r="D52" s="391"/>
      <c r="E52" s="390">
        <v>2023</v>
      </c>
      <c r="F52" s="391"/>
    </row>
    <row r="53" spans="2:6" ht="13.5" thickBot="1" x14ac:dyDescent="0.35">
      <c r="B53" s="135" t="s">
        <v>467</v>
      </c>
      <c r="C53" s="136">
        <v>320077</v>
      </c>
      <c r="D53" s="136">
        <v>2428157</v>
      </c>
      <c r="E53" s="136">
        <v>331805</v>
      </c>
      <c r="F53" s="136">
        <v>2723132</v>
      </c>
    </row>
    <row r="54" spans="2:6" ht="13.5" thickBot="1" x14ac:dyDescent="0.35">
      <c r="B54" s="137" t="s">
        <v>468</v>
      </c>
      <c r="C54" s="136">
        <v>10398</v>
      </c>
      <c r="D54" s="136">
        <v>40921</v>
      </c>
      <c r="E54" s="136">
        <v>10454</v>
      </c>
      <c r="F54" s="136">
        <v>40620</v>
      </c>
    </row>
    <row r="55" spans="2:6" ht="13.5" thickBot="1" x14ac:dyDescent="0.35">
      <c r="B55" s="137" t="s">
        <v>469</v>
      </c>
      <c r="C55" s="136">
        <v>21660</v>
      </c>
      <c r="D55" s="136">
        <v>190780</v>
      </c>
      <c r="E55" s="136">
        <v>19589</v>
      </c>
      <c r="F55" s="136">
        <v>185079</v>
      </c>
    </row>
    <row r="56" spans="2:6" ht="13.5" thickBot="1" x14ac:dyDescent="0.35">
      <c r="B56" s="137" t="s">
        <v>470</v>
      </c>
      <c r="C56" s="136">
        <v>10553</v>
      </c>
      <c r="D56" s="136">
        <v>21405</v>
      </c>
      <c r="E56" s="136">
        <v>11813</v>
      </c>
      <c r="F56" s="136">
        <v>24147</v>
      </c>
    </row>
    <row r="57" spans="2:6" ht="13.5" thickBot="1" x14ac:dyDescent="0.35">
      <c r="B57" s="137" t="s">
        <v>471</v>
      </c>
      <c r="C57" s="136">
        <v>11424</v>
      </c>
      <c r="D57" s="136">
        <v>77012</v>
      </c>
      <c r="E57" s="136">
        <v>13534</v>
      </c>
      <c r="F57" s="136">
        <v>98846</v>
      </c>
    </row>
    <row r="58" spans="2:6" ht="13.5" thickBot="1" x14ac:dyDescent="0.35">
      <c r="B58" s="137" t="s">
        <v>472</v>
      </c>
      <c r="C58" s="136">
        <v>256296</v>
      </c>
      <c r="D58" s="136">
        <v>2023536</v>
      </c>
      <c r="E58" s="136">
        <v>266705</v>
      </c>
      <c r="F58" s="136">
        <v>2299768</v>
      </c>
    </row>
    <row r="59" spans="2:6" x14ac:dyDescent="0.3">
      <c r="B59" s="138" t="s">
        <v>473</v>
      </c>
      <c r="C59" s="384">
        <v>2378</v>
      </c>
      <c r="D59" s="384">
        <v>9379</v>
      </c>
      <c r="E59" s="384">
        <v>2727</v>
      </c>
      <c r="F59" s="384">
        <v>10508</v>
      </c>
    </row>
    <row r="60" spans="2:6" ht="13.5" thickBot="1" x14ac:dyDescent="0.35">
      <c r="B60" s="139" t="s">
        <v>474</v>
      </c>
      <c r="C60" s="385"/>
      <c r="D60" s="385"/>
      <c r="E60" s="385"/>
      <c r="F60" s="385"/>
    </row>
    <row r="61" spans="2:6" x14ac:dyDescent="0.3">
      <c r="B61" s="138" t="s">
        <v>473</v>
      </c>
      <c r="C61" s="384">
        <v>7368</v>
      </c>
      <c r="D61" s="384">
        <v>65124</v>
      </c>
      <c r="E61" s="384">
        <v>6983</v>
      </c>
      <c r="F61" s="384">
        <v>64165</v>
      </c>
    </row>
    <row r="62" spans="2:6" ht="13.5" thickBot="1" x14ac:dyDescent="0.35">
      <c r="B62" s="139" t="s">
        <v>475</v>
      </c>
      <c r="C62" s="385"/>
      <c r="D62" s="385"/>
      <c r="E62" s="385"/>
      <c r="F62" s="385"/>
    </row>
    <row r="63" spans="2:6" ht="13.5" thickBot="1" x14ac:dyDescent="0.35">
      <c r="B63" s="135" t="s">
        <v>476</v>
      </c>
      <c r="C63" s="136">
        <v>6839</v>
      </c>
      <c r="D63" s="140" t="s">
        <v>477</v>
      </c>
      <c r="E63" s="136">
        <v>7070</v>
      </c>
      <c r="F63" s="140" t="s">
        <v>478</v>
      </c>
    </row>
    <row r="64" spans="2:6" ht="13.5" thickBot="1" x14ac:dyDescent="0.35">
      <c r="B64" s="141" t="s">
        <v>479</v>
      </c>
      <c r="C64" s="136">
        <v>5376</v>
      </c>
      <c r="D64" s="140" t="s">
        <v>480</v>
      </c>
      <c r="E64" s="136">
        <v>5475</v>
      </c>
      <c r="F64" s="140" t="s">
        <v>481</v>
      </c>
    </row>
    <row r="65" spans="2:6" x14ac:dyDescent="0.3">
      <c r="B65" s="142" t="s">
        <v>482</v>
      </c>
      <c r="C65" s="384">
        <v>1463</v>
      </c>
      <c r="D65" s="386" t="s">
        <v>484</v>
      </c>
      <c r="E65" s="384">
        <v>1595</v>
      </c>
      <c r="F65" s="386" t="s">
        <v>485</v>
      </c>
    </row>
    <row r="66" spans="2:6" ht="13.5" thickBot="1" x14ac:dyDescent="0.35">
      <c r="B66" s="143" t="s">
        <v>483</v>
      </c>
      <c r="C66" s="385"/>
      <c r="D66" s="387"/>
      <c r="E66" s="385"/>
      <c r="F66" s="387"/>
    </row>
    <row r="67" spans="2:6" ht="28.5" customHeight="1" thickBot="1" x14ac:dyDescent="0.35">
      <c r="B67" s="144" t="s">
        <v>486</v>
      </c>
      <c r="C67" s="145">
        <v>102991</v>
      </c>
      <c r="D67" s="146">
        <v>279847</v>
      </c>
      <c r="E67" s="147">
        <v>107224</v>
      </c>
      <c r="F67" s="146">
        <v>304729</v>
      </c>
    </row>
    <row r="68" spans="2:6" x14ac:dyDescent="0.3">
      <c r="B68" s="377" t="s">
        <v>493</v>
      </c>
      <c r="C68" s="377"/>
      <c r="D68" s="377"/>
      <c r="E68" s="377"/>
      <c r="F68" s="377"/>
    </row>
    <row r="69" spans="2:6" x14ac:dyDescent="0.3">
      <c r="B69" s="378"/>
      <c r="C69" s="378"/>
      <c r="D69" s="378"/>
      <c r="E69" s="378"/>
      <c r="F69" s="378"/>
    </row>
    <row r="70" spans="2:6" x14ac:dyDescent="0.3">
      <c r="B70" s="378"/>
      <c r="C70" s="378"/>
      <c r="D70" s="378"/>
      <c r="E70" s="378"/>
      <c r="F70" s="378"/>
    </row>
    <row r="71" spans="2:6" x14ac:dyDescent="0.3">
      <c r="B71" s="378"/>
      <c r="C71" s="378"/>
      <c r="D71" s="378"/>
      <c r="E71" s="378"/>
      <c r="F71" s="378"/>
    </row>
  </sheetData>
  <mergeCells count="21">
    <mergeCell ref="E52:F52"/>
    <mergeCell ref="C59:C60"/>
    <mergeCell ref="D59:D60"/>
    <mergeCell ref="E59:E60"/>
    <mergeCell ref="F59:F60"/>
    <mergeCell ref="B68:F71"/>
    <mergeCell ref="C4:D4"/>
    <mergeCell ref="E4:F4"/>
    <mergeCell ref="B4:B5"/>
    <mergeCell ref="C61:C62"/>
    <mergeCell ref="D61:D62"/>
    <mergeCell ref="E61:E62"/>
    <mergeCell ref="F61:F62"/>
    <mergeCell ref="C65:C66"/>
    <mergeCell ref="D65:D66"/>
    <mergeCell ref="E65:E66"/>
    <mergeCell ref="F65:F66"/>
    <mergeCell ref="B50:B51"/>
    <mergeCell ref="C50:C51"/>
    <mergeCell ref="E50:E51"/>
    <mergeCell ref="C52:D52"/>
  </mergeCells>
  <pageMargins left="0.7" right="0.7" top="0.75" bottom="0.75" header="0.3" footer="0.3"/>
  <ignoredErrors>
    <ignoredError sqref="E11 E8 D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0EA92-2833-4B7D-8E26-3C9ED06288D5}">
  <dimension ref="B2:M48"/>
  <sheetViews>
    <sheetView showGridLines="0" zoomScaleNormal="100" workbookViewId="0"/>
  </sheetViews>
  <sheetFormatPr defaultColWidth="9.1796875" defaultRowHeight="13" x14ac:dyDescent="0.3"/>
  <cols>
    <col min="1" max="1" width="4.6328125" style="1" customWidth="1"/>
    <col min="2" max="2" width="28.7265625" style="1" customWidth="1"/>
    <col min="3" max="3" width="31.81640625" style="1" customWidth="1"/>
    <col min="4" max="11" width="20.54296875" style="1" customWidth="1"/>
    <col min="12" max="16384" width="9.1796875" style="1"/>
  </cols>
  <sheetData>
    <row r="2" spans="2:13" ht="15.5" x14ac:dyDescent="0.35">
      <c r="B2" s="370" t="s">
        <v>712</v>
      </c>
    </row>
    <row r="4" spans="2:13" x14ac:dyDescent="0.3">
      <c r="B4" s="1" t="s">
        <v>621</v>
      </c>
      <c r="G4" s="251"/>
      <c r="H4" s="251"/>
      <c r="M4" s="1" t="s">
        <v>687</v>
      </c>
    </row>
    <row r="5" spans="2:13" ht="26" x14ac:dyDescent="0.3">
      <c r="B5" s="248" t="s">
        <v>597</v>
      </c>
      <c r="C5" s="249" t="s">
        <v>598</v>
      </c>
      <c r="D5" s="250" t="s">
        <v>618</v>
      </c>
      <c r="E5" s="266" t="s">
        <v>627</v>
      </c>
      <c r="F5" s="266" t="s">
        <v>622</v>
      </c>
      <c r="G5" s="266" t="s">
        <v>619</v>
      </c>
      <c r="H5" s="252" t="s">
        <v>628</v>
      </c>
      <c r="I5" s="254" t="s">
        <v>623</v>
      </c>
      <c r="J5" s="254" t="s">
        <v>620</v>
      </c>
    </row>
    <row r="6" spans="2:13" ht="12.75" customHeight="1" x14ac:dyDescent="0.3">
      <c r="B6" s="232" t="s">
        <v>556</v>
      </c>
      <c r="C6" s="233" t="s">
        <v>599</v>
      </c>
      <c r="D6" s="255">
        <f t="shared" ref="D6:D23" si="0">IFERROR(INDEX($F$30:$F$48, MATCH(B6,($C$30:$C$48),0)), 0) * knop_toeslagen</f>
        <v>0.5</v>
      </c>
      <c r="E6" s="234">
        <v>2862</v>
      </c>
      <c r="F6" s="260">
        <f>IFERROR(Tabel_toeslagen[[#This Row],[aantal toeslagen 2022]]*Tabel_toeslagen[[#This Row],[verhoging punten]], 0)</f>
        <v>1431</v>
      </c>
      <c r="G6" s="288">
        <f>Tabel_toeslagen[[#This Row],[extra punten toesl. door verhoging 2022]]*tarief_huidig</f>
        <v>219122.59049999999</v>
      </c>
      <c r="H6" s="295">
        <v>2959</v>
      </c>
      <c r="I6" s="292">
        <f>IFERROR(Tabel_toeslagen[[#This Row],[aantal toeslagen 2023]]*Tabel_toeslagen[[#This Row],[verhoging punten]], 0)</f>
        <v>1479.5</v>
      </c>
      <c r="J6" s="289">
        <f>Tabel_toeslagen[[#This Row],[extra punten toesl. door verhoging 2023]]*tarief_huidig</f>
        <v>226549.17724999998</v>
      </c>
    </row>
    <row r="7" spans="2:13" x14ac:dyDescent="0.3">
      <c r="B7" s="235" t="s">
        <v>559</v>
      </c>
      <c r="C7" s="236" t="s">
        <v>600</v>
      </c>
      <c r="D7" s="256">
        <f t="shared" si="0"/>
        <v>1</v>
      </c>
      <c r="E7" s="237">
        <v>2757</v>
      </c>
      <c r="F7" s="261">
        <f>IFERROR(Tabel_toeslagen[[#This Row],[aantal toeslagen 2022]]*Tabel_toeslagen[[#This Row],[verhoging punten]], 0)</f>
        <v>2757</v>
      </c>
      <c r="G7" s="289">
        <f>Tabel_toeslagen[[#This Row],[extra punten toesl. door verhoging 2022]]*tarief_huidig</f>
        <v>422167.00349999999</v>
      </c>
      <c r="H7" s="296">
        <v>1671</v>
      </c>
      <c r="I7" s="292">
        <f>IFERROR(Tabel_toeslagen[[#This Row],[aantal toeslagen 2023]]*Tabel_toeslagen[[#This Row],[verhoging punten]], 0)</f>
        <v>1671</v>
      </c>
      <c r="J7" s="289">
        <f>Tabel_toeslagen[[#This Row],[extra punten toesl. door verhoging 2023]]*tarief_huidig</f>
        <v>255872.71049999999</v>
      </c>
    </row>
    <row r="8" spans="2:13" x14ac:dyDescent="0.3">
      <c r="B8" s="235" t="s">
        <v>561</v>
      </c>
      <c r="C8" s="236" t="s">
        <v>601</v>
      </c>
      <c r="D8" s="256">
        <f>IFERROR(INDEX($F$30:$F$48, MATCH(B8,($C$30:$C$48),0)), 0) * knop_toeslagen * (1 - knop_opvolging)</f>
        <v>0.5</v>
      </c>
      <c r="E8" s="237">
        <v>5471</v>
      </c>
      <c r="F8" s="261">
        <f>IFERROR(Tabel_toeslagen[[#This Row],[aantal toeslagen 2022]]*Tabel_toeslagen[[#This Row],[verhoging punten]], 0)</f>
        <v>2735.5</v>
      </c>
      <c r="G8" s="289">
        <f>Tabel_toeslagen[[#This Row],[extra punten toesl. door verhoging 2022]]*tarief_huidig</f>
        <v>418874.80524999998</v>
      </c>
      <c r="H8" s="296">
        <v>5935</v>
      </c>
      <c r="I8" s="292">
        <f>IFERROR(Tabel_toeslagen[[#This Row],[aantal toeslagen 2023]]*Tabel_toeslagen[[#This Row],[verhoging punten]], 0)</f>
        <v>2967.5</v>
      </c>
      <c r="J8" s="289">
        <f>Tabel_toeslagen[[#This Row],[extra punten toesl. door verhoging 2023]]*tarief_huidig</f>
        <v>454399.92124999996</v>
      </c>
    </row>
    <row r="9" spans="2:13" x14ac:dyDescent="0.3">
      <c r="B9" s="235" t="s">
        <v>566</v>
      </c>
      <c r="C9" s="236" t="s">
        <v>602</v>
      </c>
      <c r="D9" s="256">
        <f>IFERROR(INDEX($F$30:$F$48, MATCH(B9,($C$30:$C$48),0)), 0) * knop_toeslagen * (1-knop_opvolging)</f>
        <v>0.5</v>
      </c>
      <c r="E9" s="237">
        <v>1890</v>
      </c>
      <c r="F9" s="261">
        <f>IFERROR(Tabel_toeslagen[[#This Row],[aantal toeslagen 2022]]*Tabel_toeslagen[[#This Row],[verhoging punten]], 0)</f>
        <v>945</v>
      </c>
      <c r="G9" s="289">
        <f>Tabel_toeslagen[[#This Row],[extra punten toesl. door verhoging 2022]]*tarief_huidig</f>
        <v>144703.59749999997</v>
      </c>
      <c r="H9" s="296">
        <v>1967</v>
      </c>
      <c r="I9" s="292">
        <f>IFERROR(Tabel_toeslagen[[#This Row],[aantal toeslagen 2023]]*Tabel_toeslagen[[#This Row],[verhoging punten]], 0)</f>
        <v>983.5</v>
      </c>
      <c r="J9" s="289">
        <f>Tabel_toeslagen[[#This Row],[extra punten toesl. door verhoging 2023]]*tarief_huidig</f>
        <v>150598.92924999999</v>
      </c>
    </row>
    <row r="10" spans="2:13" x14ac:dyDescent="0.3">
      <c r="B10" s="235" t="s">
        <v>568</v>
      </c>
      <c r="C10" s="236" t="s">
        <v>603</v>
      </c>
      <c r="D10" s="256">
        <f>IFERROR(INDEX($F$30:$F$48, MATCH(B10,($C$30:$C$48),0)), 0) * knop_toeslagen * (1-knop_opvolging)</f>
        <v>0.5</v>
      </c>
      <c r="E10" s="264">
        <v>222</v>
      </c>
      <c r="F10" s="265">
        <f>IFERROR(Tabel_toeslagen[[#This Row],[aantal toeslagen 2022]]*Tabel_toeslagen[[#This Row],[verhoging punten]], 0)</f>
        <v>111</v>
      </c>
      <c r="G10" s="289">
        <f>Tabel_toeslagen[[#This Row],[extra punten toesl. door verhoging 2022]]*tarief_huidig</f>
        <v>16996.930499999999</v>
      </c>
      <c r="H10" s="297">
        <v>218</v>
      </c>
      <c r="I10" s="292">
        <f>IFERROR(Tabel_toeslagen[[#This Row],[aantal toeslagen 2023]]*Tabel_toeslagen[[#This Row],[verhoging punten]], 0)</f>
        <v>109</v>
      </c>
      <c r="J10" s="289">
        <f>Tabel_toeslagen[[#This Row],[extra punten toesl. door verhoging 2023]]*tarief_huidig</f>
        <v>16690.679499999998</v>
      </c>
    </row>
    <row r="11" spans="2:13" x14ac:dyDescent="0.3">
      <c r="B11" s="235" t="s">
        <v>570</v>
      </c>
      <c r="C11" s="236" t="s">
        <v>604</v>
      </c>
      <c r="D11" s="256">
        <f t="shared" si="0"/>
        <v>1</v>
      </c>
      <c r="E11" s="237">
        <v>11997</v>
      </c>
      <c r="F11" s="261">
        <f>IFERROR(Tabel_toeslagen[[#This Row],[aantal toeslagen 2022]]*Tabel_toeslagen[[#This Row],[verhoging punten]], 0)</f>
        <v>11997</v>
      </c>
      <c r="G11" s="289">
        <f>Tabel_toeslagen[[#This Row],[extra punten toesl. door verhoging 2022]]*tarief_huidig</f>
        <v>1837046.6234999998</v>
      </c>
      <c r="H11" s="296">
        <v>13386</v>
      </c>
      <c r="I11" s="292">
        <f>IFERROR(Tabel_toeslagen[[#This Row],[aantal toeslagen 2023]]*Tabel_toeslagen[[#This Row],[verhoging punten]], 0)</f>
        <v>13386</v>
      </c>
      <c r="J11" s="289">
        <f>Tabel_toeslagen[[#This Row],[extra punten toesl. door verhoging 2023]]*tarief_huidig</f>
        <v>2049737.9429999997</v>
      </c>
    </row>
    <row r="12" spans="2:13" ht="26" x14ac:dyDescent="0.3">
      <c r="B12" s="235" t="s">
        <v>572</v>
      </c>
      <c r="C12" s="239"/>
      <c r="D12" s="257">
        <f t="shared" si="0"/>
        <v>0.5</v>
      </c>
      <c r="E12" s="263" t="s">
        <v>605</v>
      </c>
      <c r="F12" s="261">
        <f>IFERROR(Tabel_toeslagen[[#This Row],[aantal toeslagen 2022]]*Tabel_toeslagen[[#This Row],[verhoging punten]], 0)</f>
        <v>0</v>
      </c>
      <c r="G12" s="290">
        <f>Tabel_toeslagen[[#This Row],[extra punten toesl. door verhoging 2022]]*tarief_huidig</f>
        <v>0</v>
      </c>
      <c r="H12" s="298" t="s">
        <v>605</v>
      </c>
      <c r="I12" s="293">
        <f>IFERROR(Tabel_toeslagen[[#This Row],[aantal toeslagen 2023]]*Tabel_toeslagen[[#This Row],[verhoging punten]], 0)</f>
        <v>0</v>
      </c>
      <c r="J12" s="290">
        <f>Tabel_toeslagen[[#This Row],[extra punten toesl. door verhoging 2023]]*tarief_huidig</f>
        <v>0</v>
      </c>
    </row>
    <row r="13" spans="2:13" x14ac:dyDescent="0.3">
      <c r="B13" s="235" t="s">
        <v>573</v>
      </c>
      <c r="C13" s="236" t="s">
        <v>606</v>
      </c>
      <c r="D13" s="256">
        <f t="shared" si="0"/>
        <v>0.5</v>
      </c>
      <c r="E13" s="238">
        <v>33</v>
      </c>
      <c r="F13" s="261">
        <f>IFERROR(Tabel_toeslagen[[#This Row],[aantal toeslagen 2022]]*Tabel_toeslagen[[#This Row],[verhoging punten]], 0)</f>
        <v>16.5</v>
      </c>
      <c r="G13" s="289">
        <f>Tabel_toeslagen[[#This Row],[extra punten toesl. door verhoging 2022]]*tarief_huidig</f>
        <v>2526.5707499999999</v>
      </c>
      <c r="H13" s="299">
        <v>38</v>
      </c>
      <c r="I13" s="292">
        <f>IFERROR(Tabel_toeslagen[[#This Row],[aantal toeslagen 2023]]*Tabel_toeslagen[[#This Row],[verhoging punten]], 0)</f>
        <v>19</v>
      </c>
      <c r="J13" s="289">
        <f>Tabel_toeslagen[[#This Row],[extra punten toesl. door verhoging 2023]]*tarief_huidig</f>
        <v>2909.3844999999997</v>
      </c>
    </row>
    <row r="14" spans="2:13" ht="12.75" customHeight="1" x14ac:dyDescent="0.3">
      <c r="B14" s="235" t="s">
        <v>575</v>
      </c>
      <c r="C14" s="236" t="s">
        <v>607</v>
      </c>
      <c r="D14" s="256">
        <f t="shared" si="0"/>
        <v>1</v>
      </c>
      <c r="E14" s="237">
        <v>8067</v>
      </c>
      <c r="F14" s="261">
        <f>IFERROR(Tabel_toeslagen[[#This Row],[aantal toeslagen 2022]]*Tabel_toeslagen[[#This Row],[verhoging punten]], 0)</f>
        <v>8067</v>
      </c>
      <c r="G14" s="289">
        <f>Tabel_toeslagen[[#This Row],[extra punten toesl. door verhoging 2022]]*tarief_huidig</f>
        <v>1235263.4084999999</v>
      </c>
      <c r="H14" s="296">
        <v>7914</v>
      </c>
      <c r="I14" s="292">
        <f>IFERROR(Tabel_toeslagen[[#This Row],[aantal toeslagen 2023]]*Tabel_toeslagen[[#This Row],[verhoging punten]], 0)</f>
        <v>7914</v>
      </c>
      <c r="J14" s="289">
        <f>Tabel_toeslagen[[#This Row],[extra punten toesl. door verhoging 2023]]*tarief_huidig</f>
        <v>1211835.2069999999</v>
      </c>
    </row>
    <row r="15" spans="2:13" ht="12.75" customHeight="1" x14ac:dyDescent="0.3">
      <c r="B15" s="235" t="s">
        <v>577</v>
      </c>
      <c r="C15" s="236" t="s">
        <v>608</v>
      </c>
      <c r="D15" s="256">
        <f t="shared" si="0"/>
        <v>1</v>
      </c>
      <c r="E15" s="237">
        <v>5559</v>
      </c>
      <c r="F15" s="261">
        <f>IFERROR(Tabel_toeslagen[[#This Row],[aantal toeslagen 2022]]*Tabel_toeslagen[[#This Row],[verhoging punten]], 0)</f>
        <v>5559</v>
      </c>
      <c r="G15" s="289">
        <f>Tabel_toeslagen[[#This Row],[extra punten toesl. door verhoging 2022]]*tarief_huidig</f>
        <v>851224.65449999995</v>
      </c>
      <c r="H15" s="296">
        <v>5821</v>
      </c>
      <c r="I15" s="292">
        <f>IFERROR(Tabel_toeslagen[[#This Row],[aantal toeslagen 2023]]*Tabel_toeslagen[[#This Row],[verhoging punten]], 0)</f>
        <v>5821</v>
      </c>
      <c r="J15" s="289">
        <f>Tabel_toeslagen[[#This Row],[extra punten toesl. door verhoging 2023]]*tarief_huidig</f>
        <v>891343.53549999988</v>
      </c>
    </row>
    <row r="16" spans="2:13" ht="24.75" customHeight="1" x14ac:dyDescent="0.3">
      <c r="B16" s="235" t="s">
        <v>579</v>
      </c>
      <c r="C16" s="236" t="s">
        <v>609</v>
      </c>
      <c r="D16" s="256">
        <f t="shared" si="0"/>
        <v>0.5</v>
      </c>
      <c r="E16" s="238">
        <v>8</v>
      </c>
      <c r="F16" s="261">
        <f>IFERROR(Tabel_toeslagen[[#This Row],[aantal toeslagen 2022]]*Tabel_toeslagen[[#This Row],[verhoging punten]], 0)</f>
        <v>4</v>
      </c>
      <c r="G16" s="290">
        <f>Tabel_toeslagen[[#This Row],[extra punten toesl. door verhoging 2022]]*tarief_huidig</f>
        <v>612.50199999999995</v>
      </c>
      <c r="H16" s="299">
        <v>18</v>
      </c>
      <c r="I16" s="293">
        <f>IFERROR(Tabel_toeslagen[[#This Row],[aantal toeslagen 2023]]*Tabel_toeslagen[[#This Row],[verhoging punten]], 0)</f>
        <v>9</v>
      </c>
      <c r="J16" s="290">
        <f>Tabel_toeslagen[[#This Row],[extra punten toesl. door verhoging 2023]]*tarief_huidig</f>
        <v>1378.1295</v>
      </c>
    </row>
    <row r="17" spans="2:10" ht="12.75" customHeight="1" x14ac:dyDescent="0.3">
      <c r="B17" s="235" t="s">
        <v>582</v>
      </c>
      <c r="C17" s="236" t="s">
        <v>610</v>
      </c>
      <c r="D17" s="256">
        <f t="shared" si="0"/>
        <v>1.5</v>
      </c>
      <c r="E17" s="238">
        <v>129</v>
      </c>
      <c r="F17" s="261">
        <f>IFERROR(Tabel_toeslagen[[#This Row],[aantal toeslagen 2022]]*Tabel_toeslagen[[#This Row],[verhoging punten]], 0)</f>
        <v>193.5</v>
      </c>
      <c r="G17" s="289">
        <f>Tabel_toeslagen[[#This Row],[extra punten toesl. door verhoging 2022]]*tarief_huidig</f>
        <v>29629.784249999997</v>
      </c>
      <c r="H17" s="299">
        <v>723</v>
      </c>
      <c r="I17" s="292">
        <f>IFERROR(Tabel_toeslagen[[#This Row],[aantal toeslagen 2023]]*Tabel_toeslagen[[#This Row],[verhoging punten]], 0)</f>
        <v>1084.5</v>
      </c>
      <c r="J17" s="289">
        <f>Tabel_toeslagen[[#This Row],[extra punten toesl. door verhoging 2023]]*tarief_huidig</f>
        <v>166064.60475</v>
      </c>
    </row>
    <row r="18" spans="2:10" ht="24.75" customHeight="1" x14ac:dyDescent="0.3">
      <c r="B18" s="235" t="s">
        <v>585</v>
      </c>
      <c r="C18" s="236" t="s">
        <v>611</v>
      </c>
      <c r="D18" s="256">
        <f t="shared" si="0"/>
        <v>1.5</v>
      </c>
      <c r="E18" s="238">
        <v>750</v>
      </c>
      <c r="F18" s="261">
        <f>IFERROR(Tabel_toeslagen[[#This Row],[aantal toeslagen 2022]]*Tabel_toeslagen[[#This Row],[verhoging punten]], 0)</f>
        <v>1125</v>
      </c>
      <c r="G18" s="290">
        <f>Tabel_toeslagen[[#This Row],[extra punten toesl. door verhoging 2022]]*tarief_huidig</f>
        <v>172266.1875</v>
      </c>
      <c r="H18" s="296">
        <v>3010</v>
      </c>
      <c r="I18" s="293">
        <f>IFERROR(Tabel_toeslagen[[#This Row],[aantal toeslagen 2023]]*Tabel_toeslagen[[#This Row],[verhoging punten]], 0)</f>
        <v>4515</v>
      </c>
      <c r="J18" s="290">
        <f>Tabel_toeslagen[[#This Row],[extra punten toesl. door verhoging 2023]]*tarief_huidig</f>
        <v>691361.63249999995</v>
      </c>
    </row>
    <row r="19" spans="2:10" ht="26" x14ac:dyDescent="0.3">
      <c r="B19" s="235" t="s">
        <v>587</v>
      </c>
      <c r="C19" s="236" t="s">
        <v>612</v>
      </c>
      <c r="D19" s="256">
        <f t="shared" si="0"/>
        <v>1.5</v>
      </c>
      <c r="E19" s="238">
        <v>110</v>
      </c>
      <c r="F19" s="261">
        <f>IFERROR(Tabel_toeslagen[[#This Row],[aantal toeslagen 2022]]*Tabel_toeslagen[[#This Row],[verhoging punten]], 0)</f>
        <v>165</v>
      </c>
      <c r="G19" s="290">
        <f>Tabel_toeslagen[[#This Row],[extra punten toesl. door verhoging 2022]]*tarief_huidig</f>
        <v>25265.707499999997</v>
      </c>
      <c r="H19" s="299">
        <v>409</v>
      </c>
      <c r="I19" s="293">
        <f>IFERROR(Tabel_toeslagen[[#This Row],[aantal toeslagen 2023]]*Tabel_toeslagen[[#This Row],[verhoging punten]], 0)</f>
        <v>613.5</v>
      </c>
      <c r="J19" s="290">
        <f>Tabel_toeslagen[[#This Row],[extra punten toesl. door verhoging 2023]]*tarief_huidig</f>
        <v>93942.494249999989</v>
      </c>
    </row>
    <row r="20" spans="2:10" ht="13.5" thickBot="1" x14ac:dyDescent="0.35">
      <c r="B20" s="240" t="s">
        <v>589</v>
      </c>
      <c r="C20" s="236" t="s">
        <v>613</v>
      </c>
      <c r="D20" s="256">
        <f t="shared" si="0"/>
        <v>1</v>
      </c>
      <c r="E20" s="241">
        <v>9</v>
      </c>
      <c r="F20" s="261">
        <f>IFERROR(Tabel_toeslagen[[#This Row],[aantal toeslagen 2022]]*Tabel_toeslagen[[#This Row],[verhoging punten]], 0)</f>
        <v>9</v>
      </c>
      <c r="G20" s="289">
        <f>Tabel_toeslagen[[#This Row],[extra punten toesl. door verhoging 2022]]*tarief_huidig</f>
        <v>1378.1295</v>
      </c>
      <c r="H20" s="300">
        <v>29</v>
      </c>
      <c r="I20" s="292">
        <f>IFERROR(Tabel_toeslagen[[#This Row],[aantal toeslagen 2023]]*Tabel_toeslagen[[#This Row],[verhoging punten]], 0)</f>
        <v>29</v>
      </c>
      <c r="J20" s="289">
        <f>Tabel_toeslagen[[#This Row],[extra punten toesl. door verhoging 2023]]*tarief_huidig</f>
        <v>4440.6394999999993</v>
      </c>
    </row>
    <row r="21" spans="2:10" ht="13.5" thickBot="1" x14ac:dyDescent="0.35">
      <c r="B21" s="242" t="s">
        <v>591</v>
      </c>
      <c r="C21" s="243" t="s">
        <v>614</v>
      </c>
      <c r="D21" s="256">
        <f t="shared" si="0"/>
        <v>1</v>
      </c>
      <c r="E21" s="244">
        <v>34</v>
      </c>
      <c r="F21" s="261">
        <f>IFERROR(Tabel_toeslagen[[#This Row],[aantal toeslagen 2022]]*Tabel_toeslagen[[#This Row],[verhoging punten]], 0)</f>
        <v>34</v>
      </c>
      <c r="G21" s="289">
        <f>Tabel_toeslagen[[#This Row],[extra punten toesl. door verhoging 2022]]*tarief_huidig</f>
        <v>5206.2669999999998</v>
      </c>
      <c r="H21" s="301">
        <v>263</v>
      </c>
      <c r="I21" s="292">
        <f>IFERROR(Tabel_toeslagen[[#This Row],[aantal toeslagen 2023]]*Tabel_toeslagen[[#This Row],[verhoging punten]], 0)</f>
        <v>263</v>
      </c>
      <c r="J21" s="289">
        <f>Tabel_toeslagen[[#This Row],[extra punten toesl. door verhoging 2023]]*tarief_huidig</f>
        <v>40272.006499999996</v>
      </c>
    </row>
    <row r="22" spans="2:10" ht="13.5" thickBot="1" x14ac:dyDescent="0.35">
      <c r="B22" s="245" t="s">
        <v>593</v>
      </c>
      <c r="C22" s="243" t="s">
        <v>615</v>
      </c>
      <c r="D22" s="258">
        <f t="shared" si="0"/>
        <v>1.5</v>
      </c>
      <c r="E22" s="246">
        <v>46</v>
      </c>
      <c r="F22" s="261">
        <f>IFERROR(Tabel_toeslagen[[#This Row],[aantal toeslagen 2022]]*Tabel_toeslagen[[#This Row],[verhoging punten]], 0)</f>
        <v>69</v>
      </c>
      <c r="G22" s="289">
        <f>Tabel_toeslagen[[#This Row],[extra punten toesl. door verhoging 2022]]*tarief_huidig</f>
        <v>10565.6595</v>
      </c>
      <c r="H22" s="302">
        <v>173</v>
      </c>
      <c r="I22" s="292">
        <f>IFERROR(Tabel_toeslagen[[#This Row],[aantal toeslagen 2023]]*Tabel_toeslagen[[#This Row],[verhoging punten]], 0)</f>
        <v>259.5</v>
      </c>
      <c r="J22" s="289">
        <f>Tabel_toeslagen[[#This Row],[extra punten toesl. door verhoging 2023]]*tarief_huidig</f>
        <v>39736.06725</v>
      </c>
    </row>
    <row r="23" spans="2:10" x14ac:dyDescent="0.3">
      <c r="B23" s="240" t="s">
        <v>616</v>
      </c>
      <c r="C23" s="247" t="s">
        <v>617</v>
      </c>
      <c r="D23" s="259">
        <f t="shared" si="0"/>
        <v>0</v>
      </c>
      <c r="E23" s="241" t="s">
        <v>63</v>
      </c>
      <c r="F23" s="262">
        <f>IFERROR(Tabel_toeslagen[[#This Row],[aantal toeslagen 2022]]*Tabel_toeslagen[[#This Row],[verhoging punten]], 0)</f>
        <v>0</v>
      </c>
      <c r="G23" s="291">
        <f>Tabel_toeslagen[[#This Row],[extra punten toesl. door verhoging 2022]]*tarief_huidig</f>
        <v>0</v>
      </c>
      <c r="H23" s="300">
        <v>30</v>
      </c>
      <c r="I23" s="294">
        <f>IFERROR(Tabel_toeslagen[[#This Row],[aantal toeslagen 2023]]*Tabel_toeslagen[[#This Row],[verhoging punten]], 0)</f>
        <v>0</v>
      </c>
      <c r="J23" s="291">
        <f>Tabel_toeslagen[[#This Row],[extra punten toesl. door verhoging 2023]]*tarief_huidig</f>
        <v>0</v>
      </c>
    </row>
    <row r="24" spans="2:10" x14ac:dyDescent="0.3">
      <c r="B24" s="235"/>
      <c r="C24" s="236"/>
      <c r="D24" s="236"/>
      <c r="E24" s="238"/>
      <c r="F24" s="261">
        <f>SUBTOTAL(109,Tabel_toeslagen[extra punten toesl. door verhoging 2022])</f>
        <v>35218.5</v>
      </c>
      <c r="G24" s="289">
        <f>SUM(Tabel_toeslagen[kosten verhoging 2022])</f>
        <v>5392850.4217499988</v>
      </c>
      <c r="H24" s="253"/>
      <c r="I24" s="292">
        <f>SUBTOTAL(109,Tabel_toeslagen[extra punten toesl. door verhoging 2023])</f>
        <v>41124</v>
      </c>
      <c r="J24" s="289">
        <f>SUBTOTAL(109,Tabel_toeslagen[kosten verhoging 2023])</f>
        <v>6297133.0620000008</v>
      </c>
    </row>
    <row r="28" spans="2:10" ht="13.5" thickBot="1" x14ac:dyDescent="0.35">
      <c r="B28" s="20" t="s">
        <v>686</v>
      </c>
    </row>
    <row r="29" spans="2:10" ht="29.5" thickBot="1" x14ac:dyDescent="0.4">
      <c r="B29" s="354" t="s">
        <v>550</v>
      </c>
      <c r="C29" s="355" t="s">
        <v>551</v>
      </c>
      <c r="D29" s="204" t="s">
        <v>552</v>
      </c>
      <c r="E29" s="204" t="s">
        <v>553</v>
      </c>
      <c r="F29" s="356" t="s">
        <v>634</v>
      </c>
      <c r="G29" s="354" t="s">
        <v>554</v>
      </c>
    </row>
    <row r="30" spans="2:10" ht="14.5" x14ac:dyDescent="0.3">
      <c r="B30" s="357" t="s">
        <v>555</v>
      </c>
      <c r="C30" s="358" t="s">
        <v>556</v>
      </c>
      <c r="D30" s="359">
        <v>1.5</v>
      </c>
      <c r="E30" s="360">
        <v>2</v>
      </c>
      <c r="F30" s="359">
        <f>E30-D30</f>
        <v>0.5</v>
      </c>
      <c r="G30" s="357" t="s">
        <v>557</v>
      </c>
    </row>
    <row r="31" spans="2:10" ht="14.5" x14ac:dyDescent="0.3">
      <c r="B31" s="357" t="s">
        <v>558</v>
      </c>
      <c r="C31" s="358" t="s">
        <v>559</v>
      </c>
      <c r="D31" s="359">
        <v>2.5</v>
      </c>
      <c r="E31" s="360">
        <v>3.5</v>
      </c>
      <c r="F31" s="359">
        <f t="shared" ref="F31:F48" si="1">E31-D31</f>
        <v>1</v>
      </c>
      <c r="G31" s="357" t="s">
        <v>560</v>
      </c>
    </row>
    <row r="32" spans="2:10" ht="14.5" x14ac:dyDescent="0.3">
      <c r="B32" s="357" t="s">
        <v>555</v>
      </c>
      <c r="C32" s="358" t="s">
        <v>561</v>
      </c>
      <c r="D32" s="359">
        <v>2</v>
      </c>
      <c r="E32" s="360">
        <v>2.5</v>
      </c>
      <c r="F32" s="359">
        <f t="shared" si="1"/>
        <v>0.5</v>
      </c>
      <c r="G32" s="357" t="s">
        <v>562</v>
      </c>
    </row>
    <row r="33" spans="2:8" ht="14.5" x14ac:dyDescent="0.3">
      <c r="B33" s="357"/>
      <c r="C33" s="358" t="s">
        <v>563</v>
      </c>
      <c r="D33" s="359">
        <v>2</v>
      </c>
      <c r="E33" s="360">
        <v>2.5</v>
      </c>
      <c r="F33" s="359">
        <f t="shared" si="1"/>
        <v>0.5</v>
      </c>
      <c r="G33" s="357" t="s">
        <v>564</v>
      </c>
    </row>
    <row r="34" spans="2:8" ht="14.5" x14ac:dyDescent="0.3">
      <c r="B34" s="357" t="s">
        <v>565</v>
      </c>
      <c r="C34" s="358" t="s">
        <v>566</v>
      </c>
      <c r="D34" s="359">
        <v>2</v>
      </c>
      <c r="E34" s="360">
        <v>2.5</v>
      </c>
      <c r="F34" s="359">
        <f t="shared" si="1"/>
        <v>0.5</v>
      </c>
      <c r="G34" s="357" t="s">
        <v>567</v>
      </c>
    </row>
    <row r="35" spans="2:8" ht="72.5" x14ac:dyDescent="0.3">
      <c r="B35" s="361" t="s">
        <v>565</v>
      </c>
      <c r="C35" s="358" t="s">
        <v>568</v>
      </c>
      <c r="D35" s="359">
        <v>2</v>
      </c>
      <c r="E35" s="360">
        <v>2.5</v>
      </c>
      <c r="F35" s="359">
        <f t="shared" si="1"/>
        <v>0.5</v>
      </c>
      <c r="G35" s="362" t="s">
        <v>569</v>
      </c>
    </row>
    <row r="36" spans="2:8" ht="14.5" x14ac:dyDescent="0.3">
      <c r="B36" s="357" t="s">
        <v>555</v>
      </c>
      <c r="C36" s="358" t="s">
        <v>570</v>
      </c>
      <c r="D36" s="359">
        <v>2.5</v>
      </c>
      <c r="E36" s="360">
        <v>3.5</v>
      </c>
      <c r="F36" s="359">
        <f t="shared" si="1"/>
        <v>1</v>
      </c>
      <c r="G36" s="357" t="s">
        <v>571</v>
      </c>
    </row>
    <row r="37" spans="2:8" ht="14.5" x14ac:dyDescent="0.3">
      <c r="B37" s="363" t="s">
        <v>555</v>
      </c>
      <c r="C37" s="364" t="s">
        <v>572</v>
      </c>
      <c r="D37" s="359">
        <v>1.5</v>
      </c>
      <c r="E37" s="360">
        <v>2</v>
      </c>
      <c r="F37" s="359">
        <f t="shared" si="1"/>
        <v>0.5</v>
      </c>
      <c r="G37" s="357" t="s">
        <v>571</v>
      </c>
    </row>
    <row r="38" spans="2:8" ht="14.5" x14ac:dyDescent="0.3">
      <c r="B38" s="357" t="s">
        <v>555</v>
      </c>
      <c r="C38" s="358" t="s">
        <v>573</v>
      </c>
      <c r="D38" s="359">
        <v>1.5</v>
      </c>
      <c r="E38" s="360">
        <v>2</v>
      </c>
      <c r="F38" s="359">
        <f t="shared" si="1"/>
        <v>0.5</v>
      </c>
      <c r="G38" s="357" t="s">
        <v>574</v>
      </c>
    </row>
    <row r="39" spans="2:8" ht="101.5" x14ac:dyDescent="0.3">
      <c r="B39" s="357" t="s">
        <v>565</v>
      </c>
      <c r="C39" s="358" t="s">
        <v>575</v>
      </c>
      <c r="D39" s="359">
        <v>2.5</v>
      </c>
      <c r="E39" s="360">
        <v>3.5</v>
      </c>
      <c r="F39" s="359">
        <f t="shared" si="1"/>
        <v>1</v>
      </c>
      <c r="G39" s="362" t="s">
        <v>576</v>
      </c>
    </row>
    <row r="40" spans="2:8" ht="14.5" x14ac:dyDescent="0.3">
      <c r="B40" s="357" t="s">
        <v>555</v>
      </c>
      <c r="C40" s="358" t="s">
        <v>577</v>
      </c>
      <c r="D40" s="359">
        <v>2.5</v>
      </c>
      <c r="E40" s="360">
        <v>3.5</v>
      </c>
      <c r="F40" s="359">
        <f t="shared" si="1"/>
        <v>1</v>
      </c>
      <c r="G40" s="357" t="s">
        <v>578</v>
      </c>
    </row>
    <row r="41" spans="2:8" ht="14.5" x14ac:dyDescent="0.3">
      <c r="B41" s="357" t="s">
        <v>555</v>
      </c>
      <c r="C41" s="358" t="s">
        <v>579</v>
      </c>
      <c r="D41" s="359">
        <v>1.5</v>
      </c>
      <c r="E41" s="360">
        <v>2</v>
      </c>
      <c r="F41" s="359">
        <f t="shared" si="1"/>
        <v>0.5</v>
      </c>
      <c r="G41" s="362" t="s">
        <v>580</v>
      </c>
    </row>
    <row r="42" spans="2:8" ht="14.5" x14ac:dyDescent="0.3">
      <c r="B42" s="357" t="s">
        <v>581</v>
      </c>
      <c r="C42" s="358" t="s">
        <v>582</v>
      </c>
      <c r="D42" s="359">
        <v>4</v>
      </c>
      <c r="E42" s="360">
        <v>5.5</v>
      </c>
      <c r="F42" s="359">
        <f t="shared" si="1"/>
        <v>1.5</v>
      </c>
      <c r="G42" s="357" t="s">
        <v>583</v>
      </c>
    </row>
    <row r="43" spans="2:8" ht="130.5" x14ac:dyDescent="0.3">
      <c r="B43" s="357" t="s">
        <v>584</v>
      </c>
      <c r="C43" s="358" t="s">
        <v>585</v>
      </c>
      <c r="D43" s="359">
        <v>4</v>
      </c>
      <c r="E43" s="360">
        <v>5.5</v>
      </c>
      <c r="F43" s="359">
        <f t="shared" si="1"/>
        <v>1.5</v>
      </c>
      <c r="G43" s="362" t="s">
        <v>586</v>
      </c>
    </row>
    <row r="44" spans="2:8" ht="14.5" x14ac:dyDescent="0.3">
      <c r="B44" s="357" t="s">
        <v>581</v>
      </c>
      <c r="C44" s="358" t="s">
        <v>587</v>
      </c>
      <c r="D44" s="359">
        <v>4</v>
      </c>
      <c r="E44" s="360">
        <v>5.5</v>
      </c>
      <c r="F44" s="359">
        <f t="shared" si="1"/>
        <v>1.5</v>
      </c>
      <c r="G44" s="357" t="s">
        <v>588</v>
      </c>
    </row>
    <row r="45" spans="2:8" ht="14.5" x14ac:dyDescent="0.3">
      <c r="B45" s="357" t="s">
        <v>558</v>
      </c>
      <c r="C45" s="358" t="s">
        <v>589</v>
      </c>
      <c r="D45" s="359">
        <v>2.5</v>
      </c>
      <c r="E45" s="360">
        <v>3.5</v>
      </c>
      <c r="F45" s="359">
        <f t="shared" si="1"/>
        <v>1</v>
      </c>
      <c r="G45" s="357" t="s">
        <v>590</v>
      </c>
    </row>
    <row r="46" spans="2:8" ht="14.5" x14ac:dyDescent="0.3">
      <c r="B46" s="357" t="s">
        <v>558</v>
      </c>
      <c r="C46" s="358" t="s">
        <v>591</v>
      </c>
      <c r="D46" s="359">
        <v>2.5</v>
      </c>
      <c r="E46" s="360">
        <v>3.5</v>
      </c>
      <c r="F46" s="359">
        <f t="shared" si="1"/>
        <v>1</v>
      </c>
      <c r="G46" s="357" t="s">
        <v>592</v>
      </c>
    </row>
    <row r="47" spans="2:8" ht="14.5" x14ac:dyDescent="0.3">
      <c r="B47" s="357" t="s">
        <v>558</v>
      </c>
      <c r="C47" s="358" t="s">
        <v>593</v>
      </c>
      <c r="D47" s="359">
        <v>4</v>
      </c>
      <c r="E47" s="360">
        <v>5.5</v>
      </c>
      <c r="F47" s="359">
        <f t="shared" si="1"/>
        <v>1.5</v>
      </c>
      <c r="G47" s="357" t="s">
        <v>594</v>
      </c>
    </row>
    <row r="48" spans="2:8" ht="116.5" thickBot="1" x14ac:dyDescent="0.35">
      <c r="B48" s="365" t="s">
        <v>581</v>
      </c>
      <c r="C48" s="366" t="s">
        <v>595</v>
      </c>
      <c r="D48" s="367">
        <v>2.5</v>
      </c>
      <c r="E48" s="368">
        <v>3.5</v>
      </c>
      <c r="F48" s="367">
        <f t="shared" si="1"/>
        <v>1</v>
      </c>
      <c r="G48" s="369" t="s">
        <v>596</v>
      </c>
      <c r="H48" s="303" t="s">
        <v>685</v>
      </c>
    </row>
  </sheetData>
  <phoneticPr fontId="26" type="noConversion"/>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B6398-F5F4-488C-B46D-8BB2C6CAE9EE}">
  <dimension ref="B2:T408"/>
  <sheetViews>
    <sheetView showGridLines="0" zoomScaleNormal="100" workbookViewId="0"/>
  </sheetViews>
  <sheetFormatPr defaultColWidth="9.1796875" defaultRowHeight="13" x14ac:dyDescent="0.3"/>
  <cols>
    <col min="1" max="1" width="4.6328125" style="309" customWidth="1"/>
    <col min="2" max="10" width="15.81640625" style="309" customWidth="1"/>
    <col min="11" max="11" width="5.453125" style="309" customWidth="1"/>
    <col min="12" max="20" width="15.81640625" style="309" customWidth="1"/>
    <col min="21" max="22" width="14.54296875" style="309" customWidth="1"/>
    <col min="23" max="16384" width="9.1796875" style="309"/>
  </cols>
  <sheetData>
    <row r="2" spans="2:20" ht="15.5" x14ac:dyDescent="0.35">
      <c r="B2" s="370" t="s">
        <v>711</v>
      </c>
    </row>
    <row r="4" spans="2:20" x14ac:dyDescent="0.3">
      <c r="B4" s="341" t="s">
        <v>673</v>
      </c>
      <c r="C4" s="342"/>
      <c r="D4" s="343" t="s">
        <v>674</v>
      </c>
      <c r="E4" s="344" t="s">
        <v>675</v>
      </c>
    </row>
    <row r="5" spans="2:20" x14ac:dyDescent="0.3">
      <c r="B5" s="345" t="s">
        <v>654</v>
      </c>
      <c r="C5" s="346"/>
      <c r="D5" s="347">
        <v>0.25</v>
      </c>
      <c r="E5" s="348" t="s">
        <v>655</v>
      </c>
      <c r="F5" s="340" t="s">
        <v>688</v>
      </c>
    </row>
    <row r="6" spans="2:20" x14ac:dyDescent="0.3">
      <c r="B6" s="345" t="s">
        <v>656</v>
      </c>
      <c r="C6" s="346"/>
      <c r="D6" s="349">
        <v>2</v>
      </c>
      <c r="E6" s="348" t="s">
        <v>657</v>
      </c>
    </row>
    <row r="7" spans="2:20" x14ac:dyDescent="0.3">
      <c r="B7" s="345" t="s">
        <v>659</v>
      </c>
      <c r="C7" s="346"/>
      <c r="D7" s="349">
        <v>10</v>
      </c>
      <c r="E7" s="348" t="s">
        <v>657</v>
      </c>
    </row>
    <row r="8" spans="2:20" x14ac:dyDescent="0.3">
      <c r="B8" s="350" t="s">
        <v>658</v>
      </c>
      <c r="C8" s="351"/>
      <c r="D8" s="352">
        <v>0</v>
      </c>
      <c r="E8" s="353"/>
    </row>
    <row r="9" spans="2:20" x14ac:dyDescent="0.3">
      <c r="D9" s="318"/>
    </row>
    <row r="11" spans="2:20" x14ac:dyDescent="0.3">
      <c r="B11" s="331" t="s">
        <v>661</v>
      </c>
      <c r="E11" s="309" t="s">
        <v>681</v>
      </c>
      <c r="L11" s="331" t="s">
        <v>662</v>
      </c>
      <c r="O11" s="309" t="s">
        <v>681</v>
      </c>
    </row>
    <row r="12" spans="2:20" x14ac:dyDescent="0.3">
      <c r="B12" s="331"/>
      <c r="L12" s="331"/>
    </row>
    <row r="13" spans="2:20" x14ac:dyDescent="0.3">
      <c r="B13" s="309" t="s">
        <v>691</v>
      </c>
      <c r="D13" s="309" t="s">
        <v>719</v>
      </c>
      <c r="I13" s="318"/>
      <c r="J13" s="318"/>
      <c r="K13" s="318"/>
      <c r="L13" s="309" t="s">
        <v>692</v>
      </c>
      <c r="N13" s="309" t="s">
        <v>719</v>
      </c>
    </row>
    <row r="14" spans="2:20" ht="44.25" customHeight="1" x14ac:dyDescent="0.3">
      <c r="B14" s="330" t="s">
        <v>646</v>
      </c>
      <c r="C14" s="329" t="s">
        <v>669</v>
      </c>
      <c r="D14" s="329" t="s">
        <v>666</v>
      </c>
      <c r="E14" s="329" t="s">
        <v>664</v>
      </c>
      <c r="F14" s="329" t="s">
        <v>671</v>
      </c>
      <c r="G14" s="329" t="s">
        <v>667</v>
      </c>
      <c r="H14" s="329" t="s">
        <v>665</v>
      </c>
      <c r="I14" s="329" t="s">
        <v>660</v>
      </c>
      <c r="J14" s="329" t="s">
        <v>663</v>
      </c>
      <c r="K14" s="317"/>
      <c r="L14" s="330" t="s">
        <v>646</v>
      </c>
      <c r="M14" s="329" t="s">
        <v>668</v>
      </c>
      <c r="N14" s="329" t="s">
        <v>666</v>
      </c>
      <c r="O14" s="329" t="s">
        <v>664</v>
      </c>
      <c r="P14" s="329" t="s">
        <v>670</v>
      </c>
      <c r="Q14" s="329" t="s">
        <v>667</v>
      </c>
      <c r="R14" s="329" t="s">
        <v>665</v>
      </c>
      <c r="S14" s="329" t="s">
        <v>660</v>
      </c>
      <c r="T14" s="329" t="s">
        <v>663</v>
      </c>
    </row>
    <row r="15" spans="2:20" x14ac:dyDescent="0.3">
      <c r="B15" s="328" t="s">
        <v>7</v>
      </c>
      <c r="C1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v>
      </c>
      <c r="D15" s="334">
        <f>IFERROR(INDEX(Tabel_forfaits[forfait VdM II voor berekening],MATCH(Tabel_opvolging2022[[#This Row],[Vaststelkategorie]],Tabel_forfaits[Zaakcode],0)), "n.v.t.")</f>
        <v>24</v>
      </c>
      <c r="E15" s="334">
        <f t="shared" ref="E15:E46" si="0">IFERROR(ROUND(D15*$D$5,$D$8),  $D$6)</f>
        <v>6</v>
      </c>
      <c r="F15" s="337">
        <f>SUMIFS(bron_opvolging[toeslag opvolging AV],bron_opvolging[Jaar Besluit Rel1 Vas Datum],"2022",bron_opvolging[Vaststelkategorie],Tabel_opvolging2022[[#This Row],[Vaststelkategorie]]) / $D$6</f>
        <v>1</v>
      </c>
      <c r="G15" s="334">
        <f>MIN($D$7,Tabel_opvolging2022[[#This Row],[forfait VdMII prc]])</f>
        <v>10</v>
      </c>
      <c r="H15" s="334">
        <f>IFERROR(ROUND(Tabel_opvolging2022[[#This Row],[forfait VdMII adv]]*$D$5,$D$8),  $D$6)</f>
        <v>3</v>
      </c>
      <c r="I15" s="337">
        <f>(Tabel_opvolging2022[[#This Row],[aantal opvolging pocedure 2022]] * (Tabel_opvolging2022[[#This Row],[toeslag opvolging VdM II prc]]-$D$6)) + (Tabel_opvolging2022[[#This Row],[aantal opvolging advies 2022*]] * (Tabel_opvolging2022[[#This Row],[toeslag opvolging VdM II adv]]-$D$6))</f>
        <v>29</v>
      </c>
      <c r="J15" s="335">
        <f>Tabel_opvolging2022[[#This Row],[totaal extra punten t.o.v. huidige toeslag]] * tarief_huidig</f>
        <v>4440.6394999999993</v>
      </c>
      <c r="L15" s="328" t="s">
        <v>7</v>
      </c>
      <c r="M1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v>
      </c>
      <c r="N15" s="334">
        <f>IFERROR(INDEX(Tabel_forfaits[forfait VdM II voor berekening],MATCH(Tabel_opvolging2023[[#This Row],[Vaststelkategorie]],Tabel_forfaits[Zaakcode],0)), "n.v.t.")</f>
        <v>24</v>
      </c>
      <c r="O15" s="334">
        <f>IFERROR(ROUND(Tabel_opvolging2023[[#This Row],[forfait VdMII prc]]*$D$5,$D$8),  $D$6)</f>
        <v>6</v>
      </c>
      <c r="P15" s="334">
        <f>SUMIFS(bron_opvolging[toeslag opvolging AV],bron_opvolging[Jaar Besluit Rel1 Vas Datum],"2023",bron_opvolging[Vaststelkategorie],Tabel_opvolging2023[[#This Row],[Vaststelkategorie]]) / $D$6</f>
        <v>3</v>
      </c>
      <c r="Q15" s="334">
        <f>MIN($D$7,Tabel_opvolging2023[[#This Row],[forfait VdMII prc]])</f>
        <v>10</v>
      </c>
      <c r="R15" s="334">
        <f>IFERROR(ROUND(Tabel_opvolging2023[[#This Row],[forfait VdMII adv]]*$D$5,$D$8),  $D$6)</f>
        <v>3</v>
      </c>
      <c r="S15" s="334">
        <f>(Tabel_opvolging2023[[#This Row],[aantal opvolging procedure 2023]] * (Tabel_opvolging2023[[#This Row],[toeslag opvolging VdM II prc]]-$D$6)) + (Tabel_opvolging2023[[#This Row],[aantal opvolging advies 2023*]] * (Tabel_opvolging2023[[#This Row],[toeslag opvolging VdM II adv]]-$D$6))</f>
        <v>23</v>
      </c>
      <c r="T15" s="335">
        <f>Tabel_opvolging2023[[#This Row],[totaal extra punten t.o.v. huidige toeslag]] * tarief_huidig</f>
        <v>3521.8864999999996</v>
      </c>
    </row>
    <row r="16" spans="2:20" x14ac:dyDescent="0.3">
      <c r="B16" s="328" t="s">
        <v>8</v>
      </c>
      <c r="C1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16" s="334">
        <f>IFERROR(INDEX(Tabel_forfaits[forfait VdM II voor berekening],MATCH(Tabel_opvolging2022[[#This Row],[Vaststelkategorie]],Tabel_forfaits[Zaakcode],0)), "n.v.t.")</f>
        <v>23</v>
      </c>
      <c r="E16" s="334">
        <f t="shared" si="0"/>
        <v>6</v>
      </c>
      <c r="F16" s="337">
        <f>SUMIFS(bron_opvolging[toeslag opvolging AV],bron_opvolging[Jaar Besluit Rel1 Vas Datum],"2022",bron_opvolging[Vaststelkategorie],Tabel_opvolging2022[[#This Row],[Vaststelkategorie]]) / $D$6</f>
        <v>0</v>
      </c>
      <c r="G16" s="334">
        <f>MIN($D$7,Tabel_opvolging2022[[#This Row],[forfait VdMII prc]])</f>
        <v>10</v>
      </c>
      <c r="H16" s="334">
        <f>IFERROR(ROUND(Tabel_opvolging2022[[#This Row],[forfait VdMII adv]]*$D$5,$D$8),  $D$6)</f>
        <v>3</v>
      </c>
      <c r="I16" s="337">
        <f>(Tabel_opvolging2022[[#This Row],[aantal opvolging pocedure 2022]] * (Tabel_opvolging2022[[#This Row],[toeslag opvolging VdM II prc]]-$D$6)) + (Tabel_opvolging2022[[#This Row],[aantal opvolging advies 2022*]] * (Tabel_opvolging2022[[#This Row],[toeslag opvolging VdM II adv]]-$D$6))</f>
        <v>4</v>
      </c>
      <c r="J16" s="335">
        <f>Tabel_opvolging2022[[#This Row],[totaal extra punten t.o.v. huidige toeslag]] * tarief_huidig</f>
        <v>612.50199999999995</v>
      </c>
      <c r="L16" s="328" t="s">
        <v>8</v>
      </c>
      <c r="M1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16" s="334">
        <f>IFERROR(INDEX(Tabel_forfaits[forfait VdM II voor berekening],MATCH(Tabel_opvolging2023[[#This Row],[Vaststelkategorie]],Tabel_forfaits[Zaakcode],0)), "n.v.t.")</f>
        <v>23</v>
      </c>
      <c r="O16" s="334">
        <f>IFERROR(ROUND(Tabel_opvolging2023[[#This Row],[forfait VdMII prc]]*$D$5,$D$8),  $D$6)</f>
        <v>6</v>
      </c>
      <c r="P16" s="334">
        <f>SUMIFS(bron_opvolging[toeslag opvolging AV],bron_opvolging[Jaar Besluit Rel1 Vas Datum],"2023",bron_opvolging[Vaststelkategorie],Tabel_opvolging2023[[#This Row],[Vaststelkategorie]]) / $D$6</f>
        <v>1</v>
      </c>
      <c r="Q16" s="334">
        <f>MIN($D$7,Tabel_opvolging2023[[#This Row],[forfait VdMII prc]])</f>
        <v>10</v>
      </c>
      <c r="R16" s="336">
        <f>IFERROR(ROUND(Tabel_opvolging2023[[#This Row],[forfait VdMII adv]]*$D$5,$D$8),  $D$6)</f>
        <v>3</v>
      </c>
      <c r="S16" s="334">
        <f>(Tabel_opvolging2023[[#This Row],[aantal opvolging procedure 2023]] * (Tabel_opvolging2023[[#This Row],[toeslag opvolging VdM II prc]]-$D$6)) + (Tabel_opvolging2023[[#This Row],[aantal opvolging advies 2023*]] * (Tabel_opvolging2023[[#This Row],[toeslag opvolging VdM II adv]]-$D$6))</f>
        <v>9</v>
      </c>
      <c r="T16" s="335">
        <f>Tabel_opvolging2023[[#This Row],[totaal extra punten t.o.v. huidige toeslag]] * tarief_huidig</f>
        <v>1378.1295</v>
      </c>
    </row>
    <row r="17" spans="2:20" x14ac:dyDescent="0.3">
      <c r="B17" s="328" t="s">
        <v>10</v>
      </c>
      <c r="C1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v>
      </c>
      <c r="D17" s="334">
        <f>IFERROR(INDEX(Tabel_forfaits[forfait VdM II voor berekening],MATCH(Tabel_opvolging2022[[#This Row],[Vaststelkategorie]],Tabel_forfaits[Zaakcode],0)), "n.v.t.")</f>
        <v>24</v>
      </c>
      <c r="E17" s="334">
        <f t="shared" si="0"/>
        <v>6</v>
      </c>
      <c r="F17" s="337">
        <f>SUMIFS(bron_opvolging[toeslag opvolging AV],bron_opvolging[Jaar Besluit Rel1 Vas Datum],"2022",bron_opvolging[Vaststelkategorie],Tabel_opvolging2022[[#This Row],[Vaststelkategorie]]) / $D$6</f>
        <v>3</v>
      </c>
      <c r="G17" s="334">
        <f>MIN($D$7,Tabel_opvolging2022[[#This Row],[forfait VdMII prc]])</f>
        <v>10</v>
      </c>
      <c r="H17" s="334">
        <f>IFERROR(ROUND(Tabel_opvolging2022[[#This Row],[forfait VdMII adv]]*$D$5,$D$8),  $D$6)</f>
        <v>3</v>
      </c>
      <c r="I17" s="337">
        <f>(Tabel_opvolging2022[[#This Row],[aantal opvolging pocedure 2022]] * (Tabel_opvolging2022[[#This Row],[toeslag opvolging VdM II prc]]-$D$6)) + (Tabel_opvolging2022[[#This Row],[aantal opvolging advies 2022*]] * (Tabel_opvolging2022[[#This Row],[toeslag opvolging VdM II adv]]-$D$6))</f>
        <v>19</v>
      </c>
      <c r="J17" s="335">
        <f>Tabel_opvolging2022[[#This Row],[totaal extra punten t.o.v. huidige toeslag]] * tarief_huidig</f>
        <v>2909.3844999999997</v>
      </c>
      <c r="L17" s="328" t="s">
        <v>10</v>
      </c>
      <c r="M1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17" s="334">
        <f>IFERROR(INDEX(Tabel_forfaits[forfait VdM II voor berekening],MATCH(Tabel_opvolging2023[[#This Row],[Vaststelkategorie]],Tabel_forfaits[Zaakcode],0)), "n.v.t.")</f>
        <v>24</v>
      </c>
      <c r="O17" s="334">
        <f>IFERROR(ROUND(Tabel_opvolging2023[[#This Row],[forfait VdMII prc]]*$D$5,$D$8),  $D$6)</f>
        <v>6</v>
      </c>
      <c r="P17" s="334">
        <f>SUMIFS(bron_opvolging[toeslag opvolging AV],bron_opvolging[Jaar Besluit Rel1 Vas Datum],"2023",bron_opvolging[Vaststelkategorie],Tabel_opvolging2023[[#This Row],[Vaststelkategorie]]) / $D$6</f>
        <v>1</v>
      </c>
      <c r="Q17" s="334">
        <f>MIN($D$7,Tabel_opvolging2023[[#This Row],[forfait VdMII prc]])</f>
        <v>10</v>
      </c>
      <c r="R17" s="334">
        <f>IFERROR(ROUND(Tabel_opvolging2023[[#This Row],[forfait VdMII adv]]*$D$5,$D$8),  $D$6)</f>
        <v>3</v>
      </c>
      <c r="S17" s="334">
        <f>(Tabel_opvolging2023[[#This Row],[aantal opvolging procedure 2023]] * (Tabel_opvolging2023[[#This Row],[toeslag opvolging VdM II prc]]-$D$6)) + (Tabel_opvolging2023[[#This Row],[aantal opvolging advies 2023*]] * (Tabel_opvolging2023[[#This Row],[toeslag opvolging VdM II adv]]-$D$6))</f>
        <v>17</v>
      </c>
      <c r="T17" s="335">
        <f>Tabel_opvolging2023[[#This Row],[totaal extra punten t.o.v. huidige toeslag]] * tarief_huidig</f>
        <v>2603.1334999999999</v>
      </c>
    </row>
    <row r="18" spans="2:20" x14ac:dyDescent="0.3">
      <c r="B18" s="328" t="s">
        <v>11</v>
      </c>
      <c r="C1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18" s="334">
        <f>IFERROR(INDEX(Tabel_forfaits[forfait VdM II voor berekening],MATCH(Tabel_opvolging2022[[#This Row],[Vaststelkategorie]],Tabel_forfaits[Zaakcode],0)), "n.v.t.")</f>
        <v>20</v>
      </c>
      <c r="E18" s="336">
        <f t="shared" si="0"/>
        <v>5</v>
      </c>
      <c r="F18" s="337">
        <f>SUMIFS(bron_opvolging[toeslag opvolging AV],bron_opvolging[Jaar Besluit Rel1 Vas Datum],"2022",bron_opvolging[Vaststelkategorie],Tabel_opvolging2022[[#This Row],[Vaststelkategorie]]) / $D$6</f>
        <v>11</v>
      </c>
      <c r="G18" s="334">
        <f>MIN($D$7,Tabel_opvolging2022[[#This Row],[forfait VdMII prc]])</f>
        <v>10</v>
      </c>
      <c r="H18" s="334">
        <f>IFERROR(ROUND(Tabel_opvolging2022[[#This Row],[forfait VdMII adv]]*$D$5,$D$8),  $D$6)</f>
        <v>3</v>
      </c>
      <c r="I18" s="337">
        <f>(Tabel_opvolging2022[[#This Row],[aantal opvolging pocedure 2022]] * (Tabel_opvolging2022[[#This Row],[toeslag opvolging VdM II prc]]-$D$6)) + (Tabel_opvolging2022[[#This Row],[aantal opvolging advies 2022*]] * (Tabel_opvolging2022[[#This Row],[toeslag opvolging VdM II adv]]-$D$6))</f>
        <v>20</v>
      </c>
      <c r="J18" s="335">
        <f>Tabel_opvolging2022[[#This Row],[totaal extra punten t.o.v. huidige toeslag]] * tarief_huidig</f>
        <v>3062.5099999999998</v>
      </c>
      <c r="L18" s="328" t="s">
        <v>11</v>
      </c>
      <c r="M1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18" s="334">
        <f>IFERROR(INDEX(Tabel_forfaits[forfait VdM II voor berekening],MATCH(Tabel_opvolging2023[[#This Row],[Vaststelkategorie]],Tabel_forfaits[Zaakcode],0)), "n.v.t.")</f>
        <v>20</v>
      </c>
      <c r="O18" s="336">
        <f>IFERROR(ROUND(Tabel_opvolging2023[[#This Row],[forfait VdMII prc]]*$D$5,$D$8),  $D$6)</f>
        <v>5</v>
      </c>
      <c r="P18" s="334">
        <f>SUMIFS(bron_opvolging[toeslag opvolging AV],bron_opvolging[Jaar Besluit Rel1 Vas Datum],"2023",bron_opvolging[Vaststelkategorie],Tabel_opvolging2023[[#This Row],[Vaststelkategorie]]) / $D$6</f>
        <v>7</v>
      </c>
      <c r="Q18" s="334">
        <f>MIN($D$7,Tabel_opvolging2023[[#This Row],[forfait VdMII prc]])</f>
        <v>10</v>
      </c>
      <c r="R18" s="334">
        <f>IFERROR(ROUND(Tabel_opvolging2023[[#This Row],[forfait VdMII adv]]*$D$5,$D$8),  $D$6)</f>
        <v>3</v>
      </c>
      <c r="S18" s="334">
        <f>(Tabel_opvolging2023[[#This Row],[aantal opvolging procedure 2023]] * (Tabel_opvolging2023[[#This Row],[toeslag opvolging VdM II prc]]-$D$6)) + (Tabel_opvolging2023[[#This Row],[aantal opvolging advies 2023*]] * (Tabel_opvolging2023[[#This Row],[toeslag opvolging VdM II adv]]-$D$6))</f>
        <v>19</v>
      </c>
      <c r="T18" s="335">
        <f>Tabel_opvolging2023[[#This Row],[totaal extra punten t.o.v. huidige toeslag]] * tarief_huidig</f>
        <v>2909.3844999999997</v>
      </c>
    </row>
    <row r="19" spans="2:20" x14ac:dyDescent="0.3">
      <c r="B19" s="328" t="s">
        <v>12</v>
      </c>
      <c r="C1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13</v>
      </c>
      <c r="D19" s="334">
        <f>IFERROR(INDEX(Tabel_forfaits[forfait VdM II voor berekening],MATCH(Tabel_opvolging2022[[#This Row],[Vaststelkategorie]],Tabel_forfaits[Zaakcode],0)), "n.v.t.")</f>
        <v>18</v>
      </c>
      <c r="E19" s="334">
        <f t="shared" si="0"/>
        <v>5</v>
      </c>
      <c r="F19" s="337">
        <f>SUMIFS(bron_opvolging[toeslag opvolging AV],bron_opvolging[Jaar Besluit Rel1 Vas Datum],"2022",bron_opvolging[Vaststelkategorie],Tabel_opvolging2022[[#This Row],[Vaststelkategorie]]) / $D$6</f>
        <v>10</v>
      </c>
      <c r="G19" s="334">
        <f>MIN($D$7,Tabel_opvolging2022[[#This Row],[forfait VdMII prc]])</f>
        <v>10</v>
      </c>
      <c r="H19" s="334">
        <f>IFERROR(ROUND(Tabel_opvolging2022[[#This Row],[forfait VdMII adv]]*$D$5,$D$8),  $D$6)</f>
        <v>3</v>
      </c>
      <c r="I19" s="337">
        <f>(Tabel_opvolging2022[[#This Row],[aantal opvolging pocedure 2022]] * (Tabel_opvolging2022[[#This Row],[toeslag opvolging VdM II prc]]-$D$6)) + (Tabel_opvolging2022[[#This Row],[aantal opvolging advies 2022*]] * (Tabel_opvolging2022[[#This Row],[toeslag opvolging VdM II adv]]-$D$6))</f>
        <v>49</v>
      </c>
      <c r="J19" s="335">
        <f>Tabel_opvolging2022[[#This Row],[totaal extra punten t.o.v. huidige toeslag]] * tarief_huidig</f>
        <v>7503.1494999999995</v>
      </c>
      <c r="L19" s="328" t="s">
        <v>12</v>
      </c>
      <c r="M1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12</v>
      </c>
      <c r="N19" s="334">
        <f>IFERROR(INDEX(Tabel_forfaits[forfait VdM II voor berekening],MATCH(Tabel_opvolging2023[[#This Row],[Vaststelkategorie]],Tabel_forfaits[Zaakcode],0)), "n.v.t.")</f>
        <v>18</v>
      </c>
      <c r="O19" s="334">
        <f>IFERROR(ROUND(Tabel_opvolging2023[[#This Row],[forfait VdMII prc]]*$D$5,$D$8),  $D$6)</f>
        <v>5</v>
      </c>
      <c r="P19" s="334">
        <f>SUMIFS(bron_opvolging[toeslag opvolging AV],bron_opvolging[Jaar Besluit Rel1 Vas Datum],"2023",bron_opvolging[Vaststelkategorie],Tabel_opvolging2023[[#This Row],[Vaststelkategorie]]) / $D$6</f>
        <v>15</v>
      </c>
      <c r="Q19" s="334">
        <f>MIN($D$7,Tabel_opvolging2023[[#This Row],[forfait VdMII prc]])</f>
        <v>10</v>
      </c>
      <c r="R19" s="334">
        <f>IFERROR(ROUND(Tabel_opvolging2023[[#This Row],[forfait VdMII adv]]*$D$5,$D$8),  $D$6)</f>
        <v>3</v>
      </c>
      <c r="S19" s="334">
        <f>(Tabel_opvolging2023[[#This Row],[aantal opvolging procedure 2023]] * (Tabel_opvolging2023[[#This Row],[toeslag opvolging VdM II prc]]-$D$6)) + (Tabel_opvolging2023[[#This Row],[aantal opvolging advies 2023*]] * (Tabel_opvolging2023[[#This Row],[toeslag opvolging VdM II adv]]-$D$6))</f>
        <v>51</v>
      </c>
      <c r="T19" s="335">
        <f>Tabel_opvolging2023[[#This Row],[totaal extra punten t.o.v. huidige toeslag]] * tarief_huidig</f>
        <v>7809.4004999999997</v>
      </c>
    </row>
    <row r="20" spans="2:20" x14ac:dyDescent="0.3">
      <c r="B20" s="328" t="s">
        <v>13</v>
      </c>
      <c r="C2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v>
      </c>
      <c r="D20" s="334">
        <f>IFERROR(INDEX(Tabel_forfaits[forfait VdM II voor berekening],MATCH(Tabel_opvolging2022[[#This Row],[Vaststelkategorie]],Tabel_forfaits[Zaakcode],0)), "n.v.t.")</f>
        <v>31</v>
      </c>
      <c r="E20" s="334">
        <f t="shared" si="0"/>
        <v>8</v>
      </c>
      <c r="F20" s="337">
        <f>SUMIFS(bron_opvolging[toeslag opvolging AV],bron_opvolging[Jaar Besluit Rel1 Vas Datum],"2022",bron_opvolging[Vaststelkategorie],Tabel_opvolging2022[[#This Row],[Vaststelkategorie]]) / $D$6</f>
        <v>5</v>
      </c>
      <c r="G20" s="334">
        <f>MIN($D$7,Tabel_opvolging2022[[#This Row],[forfait VdMII prc]])</f>
        <v>10</v>
      </c>
      <c r="H20" s="334">
        <f>IFERROR(ROUND(Tabel_opvolging2022[[#This Row],[forfait VdMII adv]]*$D$5,$D$8),  $D$6)</f>
        <v>3</v>
      </c>
      <c r="I20" s="337">
        <f>(Tabel_opvolging2022[[#This Row],[aantal opvolging pocedure 2022]] * (Tabel_opvolging2022[[#This Row],[toeslag opvolging VdM II prc]]-$D$6)) + (Tabel_opvolging2022[[#This Row],[aantal opvolging advies 2022*]] * (Tabel_opvolging2022[[#This Row],[toeslag opvolging VdM II adv]]-$D$6))</f>
        <v>17</v>
      </c>
      <c r="J20" s="335">
        <f>Tabel_opvolging2022[[#This Row],[totaal extra punten t.o.v. huidige toeslag]] * tarief_huidig</f>
        <v>2603.1334999999999</v>
      </c>
      <c r="L20" s="328" t="s">
        <v>13</v>
      </c>
      <c r="M2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20" s="334">
        <f>IFERROR(INDEX(Tabel_forfaits[forfait VdM II voor berekening],MATCH(Tabel_opvolging2023[[#This Row],[Vaststelkategorie]],Tabel_forfaits[Zaakcode],0)), "n.v.t.")</f>
        <v>31</v>
      </c>
      <c r="O20" s="334">
        <f>IFERROR(ROUND(Tabel_opvolging2023[[#This Row],[forfait VdMII prc]]*$D$5,$D$8),  $D$6)</f>
        <v>8</v>
      </c>
      <c r="P20" s="334">
        <f>SUMIFS(bron_opvolging[toeslag opvolging AV],bron_opvolging[Jaar Besluit Rel1 Vas Datum],"2023",bron_opvolging[Vaststelkategorie],Tabel_opvolging2023[[#This Row],[Vaststelkategorie]]) / $D$6</f>
        <v>2</v>
      </c>
      <c r="Q20" s="334">
        <f>MIN($D$7,Tabel_opvolging2023[[#This Row],[forfait VdMII prc]])</f>
        <v>10</v>
      </c>
      <c r="R20" s="334">
        <f>IFERROR(ROUND(Tabel_opvolging2023[[#This Row],[forfait VdMII adv]]*$D$5,$D$8),  $D$6)</f>
        <v>3</v>
      </c>
      <c r="S20" s="334">
        <f>(Tabel_opvolging2023[[#This Row],[aantal opvolging procedure 2023]] * (Tabel_opvolging2023[[#This Row],[toeslag opvolging VdM II prc]]-$D$6)) + (Tabel_opvolging2023[[#This Row],[aantal opvolging advies 2023*]] * (Tabel_opvolging2023[[#This Row],[toeslag opvolging VdM II adv]]-$D$6))</f>
        <v>2</v>
      </c>
      <c r="T20" s="335">
        <f>Tabel_opvolging2023[[#This Row],[totaal extra punten t.o.v. huidige toeslag]] * tarief_huidig</f>
        <v>306.25099999999998</v>
      </c>
    </row>
    <row r="21" spans="2:20" x14ac:dyDescent="0.3">
      <c r="B21" s="328" t="s">
        <v>14</v>
      </c>
      <c r="C2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27</v>
      </c>
      <c r="D21" s="334">
        <f>IFERROR(INDEX(Tabel_forfaits[forfait VdM II voor berekening],MATCH(Tabel_opvolging2022[[#This Row],[Vaststelkategorie]],Tabel_forfaits[Zaakcode],0)), "n.v.t.")</f>
        <v>10</v>
      </c>
      <c r="E21" s="334">
        <f t="shared" si="0"/>
        <v>3</v>
      </c>
      <c r="F21" s="337">
        <f>SUMIFS(bron_opvolging[toeslag opvolging AV],bron_opvolging[Jaar Besluit Rel1 Vas Datum],"2022",bron_opvolging[Vaststelkategorie],Tabel_opvolging2022[[#This Row],[Vaststelkategorie]]) / $D$6</f>
        <v>0</v>
      </c>
      <c r="G21" s="334">
        <f>MIN($D$7,Tabel_opvolging2022[[#This Row],[forfait VdMII prc]])</f>
        <v>10</v>
      </c>
      <c r="H21" s="334">
        <f>IFERROR(ROUND(Tabel_opvolging2022[[#This Row],[forfait VdMII adv]]*$D$5,$D$8),  $D$6)</f>
        <v>3</v>
      </c>
      <c r="I21" s="337">
        <f>(Tabel_opvolging2022[[#This Row],[aantal opvolging pocedure 2022]] * (Tabel_opvolging2022[[#This Row],[toeslag opvolging VdM II prc]]-$D$6)) + (Tabel_opvolging2022[[#This Row],[aantal opvolging advies 2022*]] * (Tabel_opvolging2022[[#This Row],[toeslag opvolging VdM II adv]]-$D$6))</f>
        <v>27</v>
      </c>
      <c r="J21" s="335">
        <f>Tabel_opvolging2022[[#This Row],[totaal extra punten t.o.v. huidige toeslag]] * tarief_huidig</f>
        <v>4134.3885</v>
      </c>
      <c r="L21" s="328" t="s">
        <v>14</v>
      </c>
      <c r="M2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18</v>
      </c>
      <c r="N21" s="334">
        <f>IFERROR(INDEX(Tabel_forfaits[forfait VdM II voor berekening],MATCH(Tabel_opvolging2023[[#This Row],[Vaststelkategorie]],Tabel_forfaits[Zaakcode],0)), "n.v.t.")</f>
        <v>10</v>
      </c>
      <c r="O21" s="334">
        <f>IFERROR(ROUND(Tabel_opvolging2023[[#This Row],[forfait VdMII prc]]*$D$5,$D$8),  $D$6)</f>
        <v>3</v>
      </c>
      <c r="P21" s="334">
        <f>SUMIFS(bron_opvolging[toeslag opvolging AV],bron_opvolging[Jaar Besluit Rel1 Vas Datum],"2023",bron_opvolging[Vaststelkategorie],Tabel_opvolging2023[[#This Row],[Vaststelkategorie]]) / $D$6</f>
        <v>1</v>
      </c>
      <c r="Q21" s="334">
        <f>MIN($D$7,Tabel_opvolging2023[[#This Row],[forfait VdMII prc]])</f>
        <v>10</v>
      </c>
      <c r="R21" s="334">
        <f>IFERROR(ROUND(Tabel_opvolging2023[[#This Row],[forfait VdMII adv]]*$D$5,$D$8),  $D$6)</f>
        <v>3</v>
      </c>
      <c r="S21" s="334">
        <f>(Tabel_opvolging2023[[#This Row],[aantal opvolging procedure 2023]] * (Tabel_opvolging2023[[#This Row],[toeslag opvolging VdM II prc]]-$D$6)) + (Tabel_opvolging2023[[#This Row],[aantal opvolging advies 2023*]] * (Tabel_opvolging2023[[#This Row],[toeslag opvolging VdM II adv]]-$D$6))</f>
        <v>19</v>
      </c>
      <c r="T21" s="335">
        <f>Tabel_opvolging2023[[#This Row],[totaal extra punten t.o.v. huidige toeslag]] * tarief_huidig</f>
        <v>2909.3844999999997</v>
      </c>
    </row>
    <row r="22" spans="2:20" x14ac:dyDescent="0.3">
      <c r="B22" s="328" t="s">
        <v>17</v>
      </c>
      <c r="C2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48</v>
      </c>
      <c r="D22" s="334">
        <f>IFERROR(INDEX(Tabel_forfaits[forfait VdM II voor berekening],MATCH(Tabel_opvolging2022[[#This Row],[Vaststelkategorie]],Tabel_forfaits[Zaakcode],0)), "n.v.t.")</f>
        <v>8</v>
      </c>
      <c r="E22" s="334">
        <f t="shared" si="0"/>
        <v>2</v>
      </c>
      <c r="F22" s="337">
        <f>SUMIFS(bron_opvolging[toeslag opvolging AV],bron_opvolging[Jaar Besluit Rel1 Vas Datum],"2022",bron_opvolging[Vaststelkategorie],Tabel_opvolging2022[[#This Row],[Vaststelkategorie]]) / $D$6</f>
        <v>1</v>
      </c>
      <c r="G22" s="334">
        <f>MIN($D$7,Tabel_opvolging2022[[#This Row],[forfait VdMII prc]])</f>
        <v>8</v>
      </c>
      <c r="H22" s="334">
        <f>IFERROR(ROUND(Tabel_opvolging2022[[#This Row],[forfait VdMII adv]]*$D$5,$D$8),  $D$6)</f>
        <v>2</v>
      </c>
      <c r="I22" s="337">
        <f>(Tabel_opvolging2022[[#This Row],[aantal opvolging pocedure 2022]] * (Tabel_opvolging2022[[#This Row],[toeslag opvolging VdM II prc]]-$D$6)) + (Tabel_opvolging2022[[#This Row],[aantal opvolging advies 2022*]] * (Tabel_opvolging2022[[#This Row],[toeslag opvolging VdM II adv]]-$D$6))</f>
        <v>0</v>
      </c>
      <c r="J22" s="335">
        <f>Tabel_opvolging2022[[#This Row],[totaal extra punten t.o.v. huidige toeslag]] * tarief_huidig</f>
        <v>0</v>
      </c>
      <c r="L22" s="328" t="s">
        <v>17</v>
      </c>
      <c r="M2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40</v>
      </c>
      <c r="N22" s="334">
        <f>IFERROR(INDEX(Tabel_forfaits[forfait VdM II voor berekening],MATCH(Tabel_opvolging2023[[#This Row],[Vaststelkategorie]],Tabel_forfaits[Zaakcode],0)), "n.v.t.")</f>
        <v>8</v>
      </c>
      <c r="O22" s="334">
        <f>IFERROR(ROUND(Tabel_opvolging2023[[#This Row],[forfait VdMII prc]]*$D$5,$D$8),  $D$6)</f>
        <v>2</v>
      </c>
      <c r="P22" s="334">
        <f>SUMIFS(bron_opvolging[toeslag opvolging AV],bron_opvolging[Jaar Besluit Rel1 Vas Datum],"2023",bron_opvolging[Vaststelkategorie],Tabel_opvolging2023[[#This Row],[Vaststelkategorie]]) / $D$6</f>
        <v>1</v>
      </c>
      <c r="Q22" s="334">
        <f>MIN($D$7,Tabel_opvolging2023[[#This Row],[forfait VdMII prc]])</f>
        <v>8</v>
      </c>
      <c r="R22" s="334">
        <f>IFERROR(ROUND(Tabel_opvolging2023[[#This Row],[forfait VdMII adv]]*$D$5,$D$8),  $D$6)</f>
        <v>2</v>
      </c>
      <c r="S22" s="334">
        <f>(Tabel_opvolging2023[[#This Row],[aantal opvolging procedure 2023]] * (Tabel_opvolging2023[[#This Row],[toeslag opvolging VdM II prc]]-$D$6)) + (Tabel_opvolging2023[[#This Row],[aantal opvolging advies 2023*]] * (Tabel_opvolging2023[[#This Row],[toeslag opvolging VdM II adv]]-$D$6))</f>
        <v>0</v>
      </c>
      <c r="T22" s="335">
        <f>Tabel_opvolging2023[[#This Row],[totaal extra punten t.o.v. huidige toeslag]] * tarief_huidig</f>
        <v>0</v>
      </c>
    </row>
    <row r="23" spans="2:20" x14ac:dyDescent="0.3">
      <c r="B23" s="328" t="s">
        <v>18</v>
      </c>
      <c r="C2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23" s="334">
        <f>IFERROR(INDEX(Tabel_forfaits[forfait VdM II voor berekening],MATCH(Tabel_opvolging2022[[#This Row],[Vaststelkategorie]],Tabel_forfaits[Zaakcode],0)), "n.v.t.")</f>
        <v>11</v>
      </c>
      <c r="E23" s="334">
        <f t="shared" si="0"/>
        <v>3</v>
      </c>
      <c r="F23" s="337">
        <f>SUMIFS(bron_opvolging[toeslag opvolging AV],bron_opvolging[Jaar Besluit Rel1 Vas Datum],"2022",bron_opvolging[Vaststelkategorie],Tabel_opvolging2022[[#This Row],[Vaststelkategorie]]) / $D$6</f>
        <v>0</v>
      </c>
      <c r="G23" s="334">
        <f>MIN($D$7,Tabel_opvolging2022[[#This Row],[forfait VdMII prc]])</f>
        <v>10</v>
      </c>
      <c r="H23" s="334">
        <f>IFERROR(ROUND(Tabel_opvolging2022[[#This Row],[forfait VdMII adv]]*$D$5,$D$8),  $D$6)</f>
        <v>3</v>
      </c>
      <c r="I23" s="337">
        <f>(Tabel_opvolging2022[[#This Row],[aantal opvolging pocedure 2022]] * (Tabel_opvolging2022[[#This Row],[toeslag opvolging VdM II prc]]-$D$6)) + (Tabel_opvolging2022[[#This Row],[aantal opvolging advies 2022*]] * (Tabel_opvolging2022[[#This Row],[toeslag opvolging VdM II adv]]-$D$6))</f>
        <v>1</v>
      </c>
      <c r="J23" s="335">
        <f>Tabel_opvolging2022[[#This Row],[totaal extra punten t.o.v. huidige toeslag]] * tarief_huidig</f>
        <v>153.12549999999999</v>
      </c>
      <c r="L23" s="328" t="s">
        <v>18</v>
      </c>
      <c r="M2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23" s="334">
        <f>IFERROR(INDEX(Tabel_forfaits[forfait VdM II voor berekening],MATCH(Tabel_opvolging2023[[#This Row],[Vaststelkategorie]],Tabel_forfaits[Zaakcode],0)), "n.v.t.")</f>
        <v>11</v>
      </c>
      <c r="O23" s="334">
        <f>IFERROR(ROUND(Tabel_opvolging2023[[#This Row],[forfait VdMII prc]]*$D$5,$D$8),  $D$6)</f>
        <v>3</v>
      </c>
      <c r="P23" s="334">
        <f>SUMIFS(bron_opvolging[toeslag opvolging AV],bron_opvolging[Jaar Besluit Rel1 Vas Datum],"2023",bron_opvolging[Vaststelkategorie],Tabel_opvolging2023[[#This Row],[Vaststelkategorie]]) / $D$6</f>
        <v>0</v>
      </c>
      <c r="Q23" s="334">
        <f>MIN($D$7,Tabel_opvolging2023[[#This Row],[forfait VdMII prc]])</f>
        <v>10</v>
      </c>
      <c r="R23" s="334">
        <f>IFERROR(ROUND(Tabel_opvolging2023[[#This Row],[forfait VdMII adv]]*$D$5,$D$8),  $D$6)</f>
        <v>3</v>
      </c>
      <c r="S23" s="334">
        <f>(Tabel_opvolging2023[[#This Row],[aantal opvolging procedure 2023]] * (Tabel_opvolging2023[[#This Row],[toeslag opvolging VdM II prc]]-$D$6)) + (Tabel_opvolging2023[[#This Row],[aantal opvolging advies 2023*]] * (Tabel_opvolging2023[[#This Row],[toeslag opvolging VdM II adv]]-$D$6))</f>
        <v>1</v>
      </c>
      <c r="T23" s="335">
        <f>Tabel_opvolging2023[[#This Row],[totaal extra punten t.o.v. huidige toeslag]] * tarief_huidig</f>
        <v>153.12549999999999</v>
      </c>
    </row>
    <row r="24" spans="2:20" x14ac:dyDescent="0.3">
      <c r="B24" s="328" t="s">
        <v>20</v>
      </c>
      <c r="C2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19</v>
      </c>
      <c r="D24" s="334">
        <f>IFERROR(INDEX(Tabel_forfaits[forfait VdM II voor berekening],MATCH(Tabel_opvolging2022[[#This Row],[Vaststelkategorie]],Tabel_forfaits[Zaakcode],0)), "n.v.t.")</f>
        <v>9</v>
      </c>
      <c r="E24" s="334">
        <f t="shared" si="0"/>
        <v>2</v>
      </c>
      <c r="F24" s="337">
        <f>SUMIFS(bron_opvolging[toeslag opvolging AV],bron_opvolging[Jaar Besluit Rel1 Vas Datum],"2022",bron_opvolging[Vaststelkategorie],Tabel_opvolging2022[[#This Row],[Vaststelkategorie]]) / $D$6</f>
        <v>0</v>
      </c>
      <c r="G24" s="334">
        <f>MIN($D$7,Tabel_opvolging2022[[#This Row],[forfait VdMII prc]])</f>
        <v>9</v>
      </c>
      <c r="H24" s="334">
        <f>IFERROR(ROUND(Tabel_opvolging2022[[#This Row],[forfait VdMII adv]]*$D$5,$D$8),  $D$6)</f>
        <v>2</v>
      </c>
      <c r="I24" s="337">
        <f>(Tabel_opvolging2022[[#This Row],[aantal opvolging pocedure 2022]] * (Tabel_opvolging2022[[#This Row],[toeslag opvolging VdM II prc]]-$D$6)) + (Tabel_opvolging2022[[#This Row],[aantal opvolging advies 2022*]] * (Tabel_opvolging2022[[#This Row],[toeslag opvolging VdM II adv]]-$D$6))</f>
        <v>0</v>
      </c>
      <c r="J24" s="335">
        <f>Tabel_opvolging2022[[#This Row],[totaal extra punten t.o.v. huidige toeslag]] * tarief_huidig</f>
        <v>0</v>
      </c>
      <c r="L24" s="328" t="s">
        <v>20</v>
      </c>
      <c r="M2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17</v>
      </c>
      <c r="N24" s="334">
        <f>IFERROR(INDEX(Tabel_forfaits[forfait VdM II voor berekening],MATCH(Tabel_opvolging2023[[#This Row],[Vaststelkategorie]],Tabel_forfaits[Zaakcode],0)), "n.v.t.")</f>
        <v>9</v>
      </c>
      <c r="O24" s="334">
        <f>IFERROR(ROUND(Tabel_opvolging2023[[#This Row],[forfait VdMII prc]]*$D$5,$D$8),  $D$6)</f>
        <v>2</v>
      </c>
      <c r="P24" s="334">
        <f>SUMIFS(bron_opvolging[toeslag opvolging AV],bron_opvolging[Jaar Besluit Rel1 Vas Datum],"2023",bron_opvolging[Vaststelkategorie],Tabel_opvolging2023[[#This Row],[Vaststelkategorie]]) / $D$6</f>
        <v>0</v>
      </c>
      <c r="Q24" s="334">
        <f>MIN($D$7,Tabel_opvolging2023[[#This Row],[forfait VdMII prc]])</f>
        <v>9</v>
      </c>
      <c r="R24" s="334">
        <f>IFERROR(ROUND(Tabel_opvolging2023[[#This Row],[forfait VdMII adv]]*$D$5,$D$8),  $D$6)</f>
        <v>2</v>
      </c>
      <c r="S24" s="334">
        <f>(Tabel_opvolging2023[[#This Row],[aantal opvolging procedure 2023]] * (Tabel_opvolging2023[[#This Row],[toeslag opvolging VdM II prc]]-$D$6)) + (Tabel_opvolging2023[[#This Row],[aantal opvolging advies 2023*]] * (Tabel_opvolging2023[[#This Row],[toeslag opvolging VdM II adv]]-$D$6))</f>
        <v>0</v>
      </c>
      <c r="T24" s="335">
        <f>Tabel_opvolging2023[[#This Row],[totaal extra punten t.o.v. huidige toeslag]] * tarief_huidig</f>
        <v>0</v>
      </c>
    </row>
    <row r="25" spans="2:20" x14ac:dyDescent="0.3">
      <c r="B25" s="328" t="s">
        <v>21</v>
      </c>
      <c r="C2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25" s="334">
        <f>IFERROR(INDEX(Tabel_forfaits[forfait VdM II voor berekening],MATCH(Tabel_opvolging2022[[#This Row],[Vaststelkategorie]],Tabel_forfaits[Zaakcode],0)), "n.v.t.")</f>
        <v>11</v>
      </c>
      <c r="E25" s="334">
        <f t="shared" si="0"/>
        <v>3</v>
      </c>
      <c r="F25" s="337">
        <f>SUMIFS(bron_opvolging[toeslag opvolging AV],bron_opvolging[Jaar Besluit Rel1 Vas Datum],"2022",bron_opvolging[Vaststelkategorie],Tabel_opvolging2022[[#This Row],[Vaststelkategorie]]) / $D$6</f>
        <v>0</v>
      </c>
      <c r="G25" s="334">
        <f>MIN($D$7,Tabel_opvolging2022[[#This Row],[forfait VdMII prc]])</f>
        <v>10</v>
      </c>
      <c r="H25" s="334">
        <f>IFERROR(ROUND(Tabel_opvolging2022[[#This Row],[forfait VdMII adv]]*$D$5,$D$8),  $D$6)</f>
        <v>3</v>
      </c>
      <c r="I25" s="337">
        <f>(Tabel_opvolging2022[[#This Row],[aantal opvolging pocedure 2022]] * (Tabel_opvolging2022[[#This Row],[toeslag opvolging VdM II prc]]-$D$6)) + (Tabel_opvolging2022[[#This Row],[aantal opvolging advies 2022*]] * (Tabel_opvolging2022[[#This Row],[toeslag opvolging VdM II adv]]-$D$6))</f>
        <v>3</v>
      </c>
      <c r="J25" s="335">
        <f>Tabel_opvolging2022[[#This Row],[totaal extra punten t.o.v. huidige toeslag]] * tarief_huidig</f>
        <v>459.37649999999996</v>
      </c>
      <c r="L25" s="328" t="s">
        <v>21</v>
      </c>
      <c r="M2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25" s="334">
        <f>IFERROR(INDEX(Tabel_forfaits[forfait VdM II voor berekening],MATCH(Tabel_opvolging2023[[#This Row],[Vaststelkategorie]],Tabel_forfaits[Zaakcode],0)), "n.v.t.")</f>
        <v>11</v>
      </c>
      <c r="O25" s="334">
        <f>IFERROR(ROUND(Tabel_opvolging2023[[#This Row],[forfait VdMII prc]]*$D$5,$D$8),  $D$6)</f>
        <v>3</v>
      </c>
      <c r="P25" s="334">
        <f>SUMIFS(bron_opvolging[toeslag opvolging AV],bron_opvolging[Jaar Besluit Rel1 Vas Datum],"2023",bron_opvolging[Vaststelkategorie],Tabel_opvolging2023[[#This Row],[Vaststelkategorie]]) / $D$6</f>
        <v>0</v>
      </c>
      <c r="Q25" s="334">
        <f>MIN($D$7,Tabel_opvolging2023[[#This Row],[forfait VdMII prc]])</f>
        <v>10</v>
      </c>
      <c r="R25" s="334">
        <f>IFERROR(ROUND(Tabel_opvolging2023[[#This Row],[forfait VdMII adv]]*$D$5,$D$8),  $D$6)</f>
        <v>3</v>
      </c>
      <c r="S25" s="334">
        <f>(Tabel_opvolging2023[[#This Row],[aantal opvolging procedure 2023]] * (Tabel_opvolging2023[[#This Row],[toeslag opvolging VdM II prc]]-$D$6)) + (Tabel_opvolging2023[[#This Row],[aantal opvolging advies 2023*]] * (Tabel_opvolging2023[[#This Row],[toeslag opvolging VdM II adv]]-$D$6))</f>
        <v>0</v>
      </c>
      <c r="T25" s="335">
        <f>Tabel_opvolging2023[[#This Row],[totaal extra punten t.o.v. huidige toeslag]] * tarief_huidig</f>
        <v>0</v>
      </c>
    </row>
    <row r="26" spans="2:20" x14ac:dyDescent="0.3">
      <c r="B26" s="328" t="s">
        <v>22</v>
      </c>
      <c r="C2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26" s="334">
        <f>IFERROR(INDEX(Tabel_forfaits[forfait VdM II voor berekening],MATCH(Tabel_opvolging2022[[#This Row],[Vaststelkategorie]],Tabel_forfaits[Zaakcode],0)), "n.v.t.")</f>
        <v>8</v>
      </c>
      <c r="E26" s="334">
        <f t="shared" si="0"/>
        <v>2</v>
      </c>
      <c r="F26" s="337">
        <f>SUMIFS(bron_opvolging[toeslag opvolging AV],bron_opvolging[Jaar Besluit Rel1 Vas Datum],"2022",bron_opvolging[Vaststelkategorie],Tabel_opvolging2022[[#This Row],[Vaststelkategorie]]) / $D$6</f>
        <v>0</v>
      </c>
      <c r="G26" s="334">
        <f>MIN($D$7,Tabel_opvolging2022[[#This Row],[forfait VdMII prc]])</f>
        <v>8</v>
      </c>
      <c r="H26" s="334">
        <f>IFERROR(ROUND(Tabel_opvolging2022[[#This Row],[forfait VdMII adv]]*$D$5,$D$8),  $D$6)</f>
        <v>2</v>
      </c>
      <c r="I26" s="337">
        <f>(Tabel_opvolging2022[[#This Row],[aantal opvolging pocedure 2022]] * (Tabel_opvolging2022[[#This Row],[toeslag opvolging VdM II prc]]-$D$6)) + (Tabel_opvolging2022[[#This Row],[aantal opvolging advies 2022*]] * (Tabel_opvolging2022[[#This Row],[toeslag opvolging VdM II adv]]-$D$6))</f>
        <v>0</v>
      </c>
      <c r="J26" s="335">
        <f>Tabel_opvolging2022[[#This Row],[totaal extra punten t.o.v. huidige toeslag]] * tarief_huidig</f>
        <v>0</v>
      </c>
      <c r="L26" s="328" t="s">
        <v>22</v>
      </c>
      <c r="M2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26" s="334">
        <f>IFERROR(INDEX(Tabel_forfaits[forfait VdM II voor berekening],MATCH(Tabel_opvolging2023[[#This Row],[Vaststelkategorie]],Tabel_forfaits[Zaakcode],0)), "n.v.t.")</f>
        <v>8</v>
      </c>
      <c r="O26" s="334">
        <f>IFERROR(ROUND(Tabel_opvolging2023[[#This Row],[forfait VdMII prc]]*$D$5,$D$8),  $D$6)</f>
        <v>2</v>
      </c>
      <c r="P26" s="334">
        <f>SUMIFS(bron_opvolging[toeslag opvolging AV],bron_opvolging[Jaar Besluit Rel1 Vas Datum],"2023",bron_opvolging[Vaststelkategorie],Tabel_opvolging2023[[#This Row],[Vaststelkategorie]]) / $D$6</f>
        <v>0</v>
      </c>
      <c r="Q26" s="334">
        <f>MIN($D$7,Tabel_opvolging2023[[#This Row],[forfait VdMII prc]])</f>
        <v>8</v>
      </c>
      <c r="R26" s="334">
        <f>IFERROR(ROUND(Tabel_opvolging2023[[#This Row],[forfait VdMII adv]]*$D$5,$D$8),  $D$6)</f>
        <v>2</v>
      </c>
      <c r="S26" s="334">
        <f>(Tabel_opvolging2023[[#This Row],[aantal opvolging procedure 2023]] * (Tabel_opvolging2023[[#This Row],[toeslag opvolging VdM II prc]]-$D$6)) + (Tabel_opvolging2023[[#This Row],[aantal opvolging advies 2023*]] * (Tabel_opvolging2023[[#This Row],[toeslag opvolging VdM II adv]]-$D$6))</f>
        <v>0</v>
      </c>
      <c r="T26" s="335">
        <f>Tabel_opvolging2023[[#This Row],[totaal extra punten t.o.v. huidige toeslag]] * tarief_huidig</f>
        <v>0</v>
      </c>
    </row>
    <row r="27" spans="2:20" x14ac:dyDescent="0.3">
      <c r="B27" s="328" t="s">
        <v>23</v>
      </c>
      <c r="C2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42</v>
      </c>
      <c r="D27" s="334">
        <f>IFERROR(INDEX(Tabel_forfaits[forfait VdM II voor berekening],MATCH(Tabel_opvolging2022[[#This Row],[Vaststelkategorie]],Tabel_forfaits[Zaakcode],0)), "n.v.t.")</f>
        <v>9</v>
      </c>
      <c r="E27" s="334">
        <f t="shared" si="0"/>
        <v>2</v>
      </c>
      <c r="F27" s="337">
        <f>SUMIFS(bron_opvolging[toeslag opvolging AV],bron_opvolging[Jaar Besluit Rel1 Vas Datum],"2022",bron_opvolging[Vaststelkategorie],Tabel_opvolging2022[[#This Row],[Vaststelkategorie]]) / $D$6</f>
        <v>1</v>
      </c>
      <c r="G27" s="334">
        <f>MIN($D$7,Tabel_opvolging2022[[#This Row],[forfait VdMII prc]])</f>
        <v>9</v>
      </c>
      <c r="H27" s="334">
        <f>IFERROR(ROUND(Tabel_opvolging2022[[#This Row],[forfait VdMII adv]]*$D$5,$D$8),  $D$6)</f>
        <v>2</v>
      </c>
      <c r="I27" s="337">
        <f>(Tabel_opvolging2022[[#This Row],[aantal opvolging pocedure 2022]] * (Tabel_opvolging2022[[#This Row],[toeslag opvolging VdM II prc]]-$D$6)) + (Tabel_opvolging2022[[#This Row],[aantal opvolging advies 2022*]] * (Tabel_opvolging2022[[#This Row],[toeslag opvolging VdM II adv]]-$D$6))</f>
        <v>0</v>
      </c>
      <c r="J27" s="335">
        <f>Tabel_opvolging2022[[#This Row],[totaal extra punten t.o.v. huidige toeslag]] * tarief_huidig</f>
        <v>0</v>
      </c>
      <c r="L27" s="328" t="s">
        <v>23</v>
      </c>
      <c r="M2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45</v>
      </c>
      <c r="N27" s="334">
        <f>IFERROR(INDEX(Tabel_forfaits[forfait VdM II voor berekening],MATCH(Tabel_opvolging2023[[#This Row],[Vaststelkategorie]],Tabel_forfaits[Zaakcode],0)), "n.v.t.")</f>
        <v>9</v>
      </c>
      <c r="O27" s="334">
        <f>IFERROR(ROUND(Tabel_opvolging2023[[#This Row],[forfait VdMII prc]]*$D$5,$D$8),  $D$6)</f>
        <v>2</v>
      </c>
      <c r="P27" s="334">
        <f>SUMIFS(bron_opvolging[toeslag opvolging AV],bron_opvolging[Jaar Besluit Rel1 Vas Datum],"2023",bron_opvolging[Vaststelkategorie],Tabel_opvolging2023[[#This Row],[Vaststelkategorie]]) / $D$6</f>
        <v>0</v>
      </c>
      <c r="Q27" s="334">
        <f>MIN($D$7,Tabel_opvolging2023[[#This Row],[forfait VdMII prc]])</f>
        <v>9</v>
      </c>
      <c r="R27" s="334">
        <f>IFERROR(ROUND(Tabel_opvolging2023[[#This Row],[forfait VdMII adv]]*$D$5,$D$8),  $D$6)</f>
        <v>2</v>
      </c>
      <c r="S27" s="334">
        <f>(Tabel_opvolging2023[[#This Row],[aantal opvolging procedure 2023]] * (Tabel_opvolging2023[[#This Row],[toeslag opvolging VdM II prc]]-$D$6)) + (Tabel_opvolging2023[[#This Row],[aantal opvolging advies 2023*]] * (Tabel_opvolging2023[[#This Row],[toeslag opvolging VdM II adv]]-$D$6))</f>
        <v>0</v>
      </c>
      <c r="T27" s="335">
        <f>Tabel_opvolging2023[[#This Row],[totaal extra punten t.o.v. huidige toeslag]] * tarief_huidig</f>
        <v>0</v>
      </c>
    </row>
    <row r="28" spans="2:20" x14ac:dyDescent="0.3">
      <c r="B28" s="328" t="s">
        <v>24</v>
      </c>
      <c r="C2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18</v>
      </c>
      <c r="D28" s="334">
        <f>IFERROR(INDEX(Tabel_forfaits[forfait VdM II voor berekening],MATCH(Tabel_opvolging2022[[#This Row],[Vaststelkategorie]],Tabel_forfaits[Zaakcode],0)), "n.v.t.")</f>
        <v>9</v>
      </c>
      <c r="E28" s="334">
        <f t="shared" si="0"/>
        <v>2</v>
      </c>
      <c r="F28" s="337">
        <f>SUMIFS(bron_opvolging[toeslag opvolging AV],bron_opvolging[Jaar Besluit Rel1 Vas Datum],"2022",bron_opvolging[Vaststelkategorie],Tabel_opvolging2022[[#This Row],[Vaststelkategorie]]) / $D$6</f>
        <v>0</v>
      </c>
      <c r="G28" s="334">
        <f>MIN($D$7,Tabel_opvolging2022[[#This Row],[forfait VdMII prc]])</f>
        <v>9</v>
      </c>
      <c r="H28" s="334">
        <f>IFERROR(ROUND(Tabel_opvolging2022[[#This Row],[forfait VdMII adv]]*$D$5,$D$8),  $D$6)</f>
        <v>2</v>
      </c>
      <c r="I28" s="337">
        <f>(Tabel_opvolging2022[[#This Row],[aantal opvolging pocedure 2022]] * (Tabel_opvolging2022[[#This Row],[toeslag opvolging VdM II prc]]-$D$6)) + (Tabel_opvolging2022[[#This Row],[aantal opvolging advies 2022*]] * (Tabel_opvolging2022[[#This Row],[toeslag opvolging VdM II adv]]-$D$6))</f>
        <v>0</v>
      </c>
      <c r="J28" s="335">
        <f>Tabel_opvolging2022[[#This Row],[totaal extra punten t.o.v. huidige toeslag]] * tarief_huidig</f>
        <v>0</v>
      </c>
      <c r="L28" s="328" t="s">
        <v>24</v>
      </c>
      <c r="M2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13</v>
      </c>
      <c r="N28" s="334">
        <f>IFERROR(INDEX(Tabel_forfaits[forfait VdM II voor berekening],MATCH(Tabel_opvolging2023[[#This Row],[Vaststelkategorie]],Tabel_forfaits[Zaakcode],0)), "n.v.t.")</f>
        <v>9</v>
      </c>
      <c r="O28" s="334">
        <f>IFERROR(ROUND(Tabel_opvolging2023[[#This Row],[forfait VdMII prc]]*$D$5,$D$8),  $D$6)</f>
        <v>2</v>
      </c>
      <c r="P28" s="334">
        <f>SUMIFS(bron_opvolging[toeslag opvolging AV],bron_opvolging[Jaar Besluit Rel1 Vas Datum],"2023",bron_opvolging[Vaststelkategorie],Tabel_opvolging2023[[#This Row],[Vaststelkategorie]]) / $D$6</f>
        <v>2</v>
      </c>
      <c r="Q28" s="334">
        <f>MIN($D$7,Tabel_opvolging2023[[#This Row],[forfait VdMII prc]])</f>
        <v>9</v>
      </c>
      <c r="R28" s="334">
        <f>IFERROR(ROUND(Tabel_opvolging2023[[#This Row],[forfait VdMII adv]]*$D$5,$D$8),  $D$6)</f>
        <v>2</v>
      </c>
      <c r="S28" s="334">
        <f>(Tabel_opvolging2023[[#This Row],[aantal opvolging procedure 2023]] * (Tabel_opvolging2023[[#This Row],[toeslag opvolging VdM II prc]]-$D$6)) + (Tabel_opvolging2023[[#This Row],[aantal opvolging advies 2023*]] * (Tabel_opvolging2023[[#This Row],[toeslag opvolging VdM II adv]]-$D$6))</f>
        <v>0</v>
      </c>
      <c r="T28" s="335">
        <f>Tabel_opvolging2023[[#This Row],[totaal extra punten t.o.v. huidige toeslag]] * tarief_huidig</f>
        <v>0</v>
      </c>
    </row>
    <row r="29" spans="2:20" x14ac:dyDescent="0.3">
      <c r="B29" s="328" t="s">
        <v>26</v>
      </c>
      <c r="C2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10</v>
      </c>
      <c r="D29" s="334">
        <f>IFERROR(INDEX(Tabel_forfaits[forfait VdM II voor berekening],MATCH(Tabel_opvolging2022[[#This Row],[Vaststelkategorie]],Tabel_forfaits[Zaakcode],0)), "n.v.t.")</f>
        <v>25</v>
      </c>
      <c r="E29" s="334">
        <f t="shared" si="0"/>
        <v>6</v>
      </c>
      <c r="F29" s="337">
        <f>SUMIFS(bron_opvolging[toeslag opvolging AV],bron_opvolging[Jaar Besluit Rel1 Vas Datum],"2022",bron_opvolging[Vaststelkategorie],Tabel_opvolging2022[[#This Row],[Vaststelkategorie]]) / $D$6</f>
        <v>4</v>
      </c>
      <c r="G29" s="334">
        <f>MIN($D$7,Tabel_opvolging2022[[#This Row],[forfait VdMII prc]])</f>
        <v>10</v>
      </c>
      <c r="H29" s="334">
        <f>IFERROR(ROUND(Tabel_opvolging2022[[#This Row],[forfait VdMII adv]]*$D$5,$D$8),  $D$6)</f>
        <v>3</v>
      </c>
      <c r="I29" s="337">
        <f>(Tabel_opvolging2022[[#This Row],[aantal opvolging pocedure 2022]] * (Tabel_opvolging2022[[#This Row],[toeslag opvolging VdM II prc]]-$D$6)) + (Tabel_opvolging2022[[#This Row],[aantal opvolging advies 2022*]] * (Tabel_opvolging2022[[#This Row],[toeslag opvolging VdM II adv]]-$D$6))</f>
        <v>44</v>
      </c>
      <c r="J29" s="335">
        <f>Tabel_opvolging2022[[#This Row],[totaal extra punten t.o.v. huidige toeslag]] * tarief_huidig</f>
        <v>6737.521999999999</v>
      </c>
      <c r="L29" s="328" t="s">
        <v>26</v>
      </c>
      <c r="M2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v>
      </c>
      <c r="N29" s="334">
        <f>IFERROR(INDEX(Tabel_forfaits[forfait VdM II voor berekening],MATCH(Tabel_opvolging2023[[#This Row],[Vaststelkategorie]],Tabel_forfaits[Zaakcode],0)), "n.v.t.")</f>
        <v>25</v>
      </c>
      <c r="O29" s="334">
        <f>IFERROR(ROUND(Tabel_opvolging2023[[#This Row],[forfait VdMII prc]]*$D$5,$D$8),  $D$6)</f>
        <v>6</v>
      </c>
      <c r="P29" s="334">
        <f>SUMIFS(bron_opvolging[toeslag opvolging AV],bron_opvolging[Jaar Besluit Rel1 Vas Datum],"2023",bron_opvolging[Vaststelkategorie],Tabel_opvolging2023[[#This Row],[Vaststelkategorie]]) / $D$6</f>
        <v>4</v>
      </c>
      <c r="Q29" s="334">
        <f>MIN($D$7,Tabel_opvolging2023[[#This Row],[forfait VdMII prc]])</f>
        <v>10</v>
      </c>
      <c r="R29" s="334">
        <f>IFERROR(ROUND(Tabel_opvolging2023[[#This Row],[forfait VdMII adv]]*$D$5,$D$8),  $D$6)</f>
        <v>3</v>
      </c>
      <c r="S29" s="334">
        <f>(Tabel_opvolging2023[[#This Row],[aantal opvolging procedure 2023]] * (Tabel_opvolging2023[[#This Row],[toeslag opvolging VdM II prc]]-$D$6)) + (Tabel_opvolging2023[[#This Row],[aantal opvolging advies 2023*]] * (Tabel_opvolging2023[[#This Row],[toeslag opvolging VdM II adv]]-$D$6))</f>
        <v>28</v>
      </c>
      <c r="T29" s="335">
        <f>Tabel_opvolging2023[[#This Row],[totaal extra punten t.o.v. huidige toeslag]] * tarief_huidig</f>
        <v>4287.5139999999992</v>
      </c>
    </row>
    <row r="30" spans="2:20" x14ac:dyDescent="0.3">
      <c r="B30" s="328" t="s">
        <v>27</v>
      </c>
      <c r="C3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30" s="334">
        <f>IFERROR(INDEX(Tabel_forfaits[forfait VdM II voor berekening],MATCH(Tabel_opvolging2022[[#This Row],[Vaststelkategorie]],Tabel_forfaits[Zaakcode],0)), "n.v.t.")</f>
        <v>9</v>
      </c>
      <c r="E30" s="334">
        <f t="shared" si="0"/>
        <v>2</v>
      </c>
      <c r="F30" s="337">
        <f>SUMIFS(bron_opvolging[toeslag opvolging AV],bron_opvolging[Jaar Besluit Rel1 Vas Datum],"2022",bron_opvolging[Vaststelkategorie],Tabel_opvolging2022[[#This Row],[Vaststelkategorie]]) / $D$6</f>
        <v>1</v>
      </c>
      <c r="G30" s="334">
        <f>MIN($D$7,Tabel_opvolging2022[[#This Row],[forfait VdMII prc]])</f>
        <v>9</v>
      </c>
      <c r="H30" s="334">
        <f>IFERROR(ROUND(Tabel_opvolging2022[[#This Row],[forfait VdMII adv]]*$D$5,$D$8),  $D$6)</f>
        <v>2</v>
      </c>
      <c r="I30" s="337">
        <f>(Tabel_opvolging2022[[#This Row],[aantal opvolging pocedure 2022]] * (Tabel_opvolging2022[[#This Row],[toeslag opvolging VdM II prc]]-$D$6)) + (Tabel_opvolging2022[[#This Row],[aantal opvolging advies 2022*]] * (Tabel_opvolging2022[[#This Row],[toeslag opvolging VdM II adv]]-$D$6))</f>
        <v>0</v>
      </c>
      <c r="J30" s="335">
        <f>Tabel_opvolging2022[[#This Row],[totaal extra punten t.o.v. huidige toeslag]] * tarief_huidig</f>
        <v>0</v>
      </c>
      <c r="L30" s="328" t="s">
        <v>27</v>
      </c>
      <c r="M3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30" s="334">
        <f>IFERROR(INDEX(Tabel_forfaits[forfait VdM II voor berekening],MATCH(Tabel_opvolging2023[[#This Row],[Vaststelkategorie]],Tabel_forfaits[Zaakcode],0)), "n.v.t.")</f>
        <v>9</v>
      </c>
      <c r="O30" s="334">
        <f>IFERROR(ROUND(Tabel_opvolging2023[[#This Row],[forfait VdMII prc]]*$D$5,$D$8),  $D$6)</f>
        <v>2</v>
      </c>
      <c r="P30" s="334">
        <f>SUMIFS(bron_opvolging[toeslag opvolging AV],bron_opvolging[Jaar Besluit Rel1 Vas Datum],"2023",bron_opvolging[Vaststelkategorie],Tabel_opvolging2023[[#This Row],[Vaststelkategorie]]) / $D$6</f>
        <v>1</v>
      </c>
      <c r="Q30" s="334">
        <f>MIN($D$7,Tabel_opvolging2023[[#This Row],[forfait VdMII prc]])</f>
        <v>9</v>
      </c>
      <c r="R30" s="334">
        <f>IFERROR(ROUND(Tabel_opvolging2023[[#This Row],[forfait VdMII adv]]*$D$5,$D$8),  $D$6)</f>
        <v>2</v>
      </c>
      <c r="S30" s="334">
        <f>(Tabel_opvolging2023[[#This Row],[aantal opvolging procedure 2023]] * (Tabel_opvolging2023[[#This Row],[toeslag opvolging VdM II prc]]-$D$6)) + (Tabel_opvolging2023[[#This Row],[aantal opvolging advies 2023*]] * (Tabel_opvolging2023[[#This Row],[toeslag opvolging VdM II adv]]-$D$6))</f>
        <v>0</v>
      </c>
      <c r="T30" s="335">
        <f>Tabel_opvolging2023[[#This Row],[totaal extra punten t.o.v. huidige toeslag]] * tarief_huidig</f>
        <v>0</v>
      </c>
    </row>
    <row r="31" spans="2:20" x14ac:dyDescent="0.3">
      <c r="B31" s="328" t="s">
        <v>28</v>
      </c>
      <c r="C3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5</v>
      </c>
      <c r="D31" s="334">
        <f>IFERROR(INDEX(Tabel_forfaits[forfait VdM II voor berekening],MATCH(Tabel_opvolging2022[[#This Row],[Vaststelkategorie]],Tabel_forfaits[Zaakcode],0)), "n.v.t.")</f>
        <v>21</v>
      </c>
      <c r="E31" s="334">
        <f t="shared" si="0"/>
        <v>5</v>
      </c>
      <c r="F31" s="337">
        <f>SUMIFS(bron_opvolging[toeslag opvolging AV],bron_opvolging[Jaar Besluit Rel1 Vas Datum],"2022",bron_opvolging[Vaststelkategorie],Tabel_opvolging2022[[#This Row],[Vaststelkategorie]]) / $D$6</f>
        <v>3</v>
      </c>
      <c r="G31" s="334">
        <f>MIN($D$7,Tabel_opvolging2022[[#This Row],[forfait VdMII prc]])</f>
        <v>10</v>
      </c>
      <c r="H31" s="334">
        <f>IFERROR(ROUND(Tabel_opvolging2022[[#This Row],[forfait VdMII adv]]*$D$5,$D$8),  $D$6)</f>
        <v>3</v>
      </c>
      <c r="I31" s="337">
        <f>(Tabel_opvolging2022[[#This Row],[aantal opvolging pocedure 2022]] * (Tabel_opvolging2022[[#This Row],[toeslag opvolging VdM II prc]]-$D$6)) + (Tabel_opvolging2022[[#This Row],[aantal opvolging advies 2022*]] * (Tabel_opvolging2022[[#This Row],[toeslag opvolging VdM II adv]]-$D$6))</f>
        <v>18</v>
      </c>
      <c r="J31" s="335">
        <f>Tabel_opvolging2022[[#This Row],[totaal extra punten t.o.v. huidige toeslag]] * tarief_huidig</f>
        <v>2756.259</v>
      </c>
      <c r="L31" s="328" t="s">
        <v>28</v>
      </c>
      <c r="M3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v>
      </c>
      <c r="N31" s="334">
        <f>IFERROR(INDEX(Tabel_forfaits[forfait VdM II voor berekening],MATCH(Tabel_opvolging2023[[#This Row],[Vaststelkategorie]],Tabel_forfaits[Zaakcode],0)), "n.v.t.")</f>
        <v>21</v>
      </c>
      <c r="O31" s="334">
        <f>IFERROR(ROUND(Tabel_opvolging2023[[#This Row],[forfait VdMII prc]]*$D$5,$D$8),  $D$6)</f>
        <v>5</v>
      </c>
      <c r="P31" s="334">
        <f>SUMIFS(bron_opvolging[toeslag opvolging AV],bron_opvolging[Jaar Besluit Rel1 Vas Datum],"2023",bron_opvolging[Vaststelkategorie],Tabel_opvolging2023[[#This Row],[Vaststelkategorie]]) / $D$6</f>
        <v>1</v>
      </c>
      <c r="Q31" s="334">
        <f>MIN($D$7,Tabel_opvolging2023[[#This Row],[forfait VdMII prc]])</f>
        <v>10</v>
      </c>
      <c r="R31" s="334">
        <f>IFERROR(ROUND(Tabel_opvolging2023[[#This Row],[forfait VdMII adv]]*$D$5,$D$8),  $D$6)</f>
        <v>3</v>
      </c>
      <c r="S31" s="334">
        <f>(Tabel_opvolging2023[[#This Row],[aantal opvolging procedure 2023]] * (Tabel_opvolging2023[[#This Row],[toeslag opvolging VdM II prc]]-$D$6)) + (Tabel_opvolging2023[[#This Row],[aantal opvolging advies 2023*]] * (Tabel_opvolging2023[[#This Row],[toeslag opvolging VdM II adv]]-$D$6))</f>
        <v>19</v>
      </c>
      <c r="T31" s="335">
        <f>Tabel_opvolging2023[[#This Row],[totaal extra punten t.o.v. huidige toeslag]] * tarief_huidig</f>
        <v>2909.3844999999997</v>
      </c>
    </row>
    <row r="32" spans="2:20" x14ac:dyDescent="0.3">
      <c r="B32" s="328" t="s">
        <v>29</v>
      </c>
      <c r="C3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33</v>
      </c>
      <c r="D32" s="334">
        <f>IFERROR(INDEX(Tabel_forfaits[forfait VdM II voor berekening],MATCH(Tabel_opvolging2022[[#This Row],[Vaststelkategorie]],Tabel_forfaits[Zaakcode],0)), "n.v.t.")</f>
        <v>16</v>
      </c>
      <c r="E32" s="334">
        <f t="shared" si="0"/>
        <v>4</v>
      </c>
      <c r="F32" s="337">
        <f>SUMIFS(bron_opvolging[toeslag opvolging AV],bron_opvolging[Jaar Besluit Rel1 Vas Datum],"2022",bron_opvolging[Vaststelkategorie],Tabel_opvolging2022[[#This Row],[Vaststelkategorie]]) / $D$6</f>
        <v>7</v>
      </c>
      <c r="G32" s="334">
        <f>MIN($D$7,Tabel_opvolging2022[[#This Row],[forfait VdMII prc]])</f>
        <v>10</v>
      </c>
      <c r="H32" s="334">
        <f>IFERROR(ROUND(Tabel_opvolging2022[[#This Row],[forfait VdMII adv]]*$D$5,$D$8),  $D$6)</f>
        <v>3</v>
      </c>
      <c r="I32" s="337">
        <f>(Tabel_opvolging2022[[#This Row],[aantal opvolging pocedure 2022]] * (Tabel_opvolging2022[[#This Row],[toeslag opvolging VdM II prc]]-$D$6)) + (Tabel_opvolging2022[[#This Row],[aantal opvolging advies 2022*]] * (Tabel_opvolging2022[[#This Row],[toeslag opvolging VdM II adv]]-$D$6))</f>
        <v>73</v>
      </c>
      <c r="J32" s="335">
        <f>Tabel_opvolging2022[[#This Row],[totaal extra punten t.o.v. huidige toeslag]] * tarief_huidig</f>
        <v>11178.161499999998</v>
      </c>
      <c r="L32" s="328" t="s">
        <v>29</v>
      </c>
      <c r="M3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27</v>
      </c>
      <c r="N32" s="334">
        <f>IFERROR(INDEX(Tabel_forfaits[forfait VdM II voor berekening],MATCH(Tabel_opvolging2023[[#This Row],[Vaststelkategorie]],Tabel_forfaits[Zaakcode],0)), "n.v.t.")</f>
        <v>16</v>
      </c>
      <c r="O32" s="334">
        <f>IFERROR(ROUND(Tabel_opvolging2023[[#This Row],[forfait VdMII prc]]*$D$5,$D$8),  $D$6)</f>
        <v>4</v>
      </c>
      <c r="P32" s="334">
        <f>SUMIFS(bron_opvolging[toeslag opvolging AV],bron_opvolging[Jaar Besluit Rel1 Vas Datum],"2023",bron_opvolging[Vaststelkategorie],Tabel_opvolging2023[[#This Row],[Vaststelkategorie]]) / $D$6</f>
        <v>7</v>
      </c>
      <c r="Q32" s="334">
        <f>MIN($D$7,Tabel_opvolging2023[[#This Row],[forfait VdMII prc]])</f>
        <v>10</v>
      </c>
      <c r="R32" s="334">
        <f>IFERROR(ROUND(Tabel_opvolging2023[[#This Row],[forfait VdMII adv]]*$D$5,$D$8),  $D$6)</f>
        <v>3</v>
      </c>
      <c r="S32" s="334">
        <f>(Tabel_opvolging2023[[#This Row],[aantal opvolging procedure 2023]] * (Tabel_opvolging2023[[#This Row],[toeslag opvolging VdM II prc]]-$D$6)) + (Tabel_opvolging2023[[#This Row],[aantal opvolging advies 2023*]] * (Tabel_opvolging2023[[#This Row],[toeslag opvolging VdM II adv]]-$D$6))</f>
        <v>61</v>
      </c>
      <c r="T32" s="335">
        <f>Tabel_opvolging2023[[#This Row],[totaal extra punten t.o.v. huidige toeslag]] * tarief_huidig</f>
        <v>9340.6554999999989</v>
      </c>
    </row>
    <row r="33" spans="2:20" x14ac:dyDescent="0.3">
      <c r="B33" s="328" t="s">
        <v>30</v>
      </c>
      <c r="C3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v>
      </c>
      <c r="D33" s="334">
        <f>IFERROR(INDEX(Tabel_forfaits[forfait VdM II voor berekening],MATCH(Tabel_opvolging2022[[#This Row],[Vaststelkategorie]],Tabel_forfaits[Zaakcode],0)), "n.v.t.")</f>
        <v>22</v>
      </c>
      <c r="E33" s="334">
        <f t="shared" si="0"/>
        <v>6</v>
      </c>
      <c r="F33" s="337">
        <f>SUMIFS(bron_opvolging[toeslag opvolging AV],bron_opvolging[Jaar Besluit Rel1 Vas Datum],"2022",bron_opvolging[Vaststelkategorie],Tabel_opvolging2022[[#This Row],[Vaststelkategorie]]) / $D$6</f>
        <v>6</v>
      </c>
      <c r="G33" s="334">
        <f>MIN($D$7,Tabel_opvolging2022[[#This Row],[forfait VdMII prc]])</f>
        <v>10</v>
      </c>
      <c r="H33" s="334">
        <f>IFERROR(ROUND(Tabel_opvolging2022[[#This Row],[forfait VdMII adv]]*$D$5,$D$8),  $D$6)</f>
        <v>3</v>
      </c>
      <c r="I33" s="337">
        <f>(Tabel_opvolging2022[[#This Row],[aantal opvolging pocedure 2022]] * (Tabel_opvolging2022[[#This Row],[toeslag opvolging VdM II prc]]-$D$6)) + (Tabel_opvolging2022[[#This Row],[aantal opvolging advies 2022*]] * (Tabel_opvolging2022[[#This Row],[toeslag opvolging VdM II adv]]-$D$6))</f>
        <v>34</v>
      </c>
      <c r="J33" s="335">
        <f>Tabel_opvolging2022[[#This Row],[totaal extra punten t.o.v. huidige toeslag]] * tarief_huidig</f>
        <v>5206.2669999999998</v>
      </c>
      <c r="L33" s="328" t="s">
        <v>30</v>
      </c>
      <c r="M3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10</v>
      </c>
      <c r="N33" s="334">
        <f>IFERROR(INDEX(Tabel_forfaits[forfait VdM II voor berekening],MATCH(Tabel_opvolging2023[[#This Row],[Vaststelkategorie]],Tabel_forfaits[Zaakcode],0)), "n.v.t.")</f>
        <v>22</v>
      </c>
      <c r="O33" s="334">
        <f>IFERROR(ROUND(Tabel_opvolging2023[[#This Row],[forfait VdMII prc]]*$D$5,$D$8),  $D$6)</f>
        <v>6</v>
      </c>
      <c r="P33" s="334">
        <f>SUMIFS(bron_opvolging[toeslag opvolging AV],bron_opvolging[Jaar Besluit Rel1 Vas Datum],"2023",bron_opvolging[Vaststelkategorie],Tabel_opvolging2023[[#This Row],[Vaststelkategorie]]) / $D$6</f>
        <v>8</v>
      </c>
      <c r="Q33" s="334">
        <f>MIN($D$7,Tabel_opvolging2023[[#This Row],[forfait VdMII prc]])</f>
        <v>10</v>
      </c>
      <c r="R33" s="334">
        <f>IFERROR(ROUND(Tabel_opvolging2023[[#This Row],[forfait VdMII adv]]*$D$5,$D$8),  $D$6)</f>
        <v>3</v>
      </c>
      <c r="S33" s="334">
        <f>(Tabel_opvolging2023[[#This Row],[aantal opvolging procedure 2023]] * (Tabel_opvolging2023[[#This Row],[toeslag opvolging VdM II prc]]-$D$6)) + (Tabel_opvolging2023[[#This Row],[aantal opvolging advies 2023*]] * (Tabel_opvolging2023[[#This Row],[toeslag opvolging VdM II adv]]-$D$6))</f>
        <v>48</v>
      </c>
      <c r="T33" s="335">
        <f>Tabel_opvolging2023[[#This Row],[totaal extra punten t.o.v. huidige toeslag]] * tarief_huidig</f>
        <v>7350.0239999999994</v>
      </c>
    </row>
    <row r="34" spans="2:20" x14ac:dyDescent="0.3">
      <c r="B34" s="328" t="s">
        <v>31</v>
      </c>
      <c r="C3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34" s="334">
        <f>IFERROR(INDEX(Tabel_forfaits[forfait VdM II voor berekening],MATCH(Tabel_opvolging2022[[#This Row],[Vaststelkategorie]],Tabel_forfaits[Zaakcode],0)), "n.v.t.")</f>
        <v>18</v>
      </c>
      <c r="E34" s="334">
        <f t="shared" si="0"/>
        <v>5</v>
      </c>
      <c r="F34" s="337">
        <f>SUMIFS(bron_opvolging[toeslag opvolging AV],bron_opvolging[Jaar Besluit Rel1 Vas Datum],"2022",bron_opvolging[Vaststelkategorie],Tabel_opvolging2022[[#This Row],[Vaststelkategorie]]) / $D$6</f>
        <v>0</v>
      </c>
      <c r="G34" s="334">
        <f>MIN($D$7,Tabel_opvolging2022[[#This Row],[forfait VdMII prc]])</f>
        <v>10</v>
      </c>
      <c r="H34" s="334">
        <f>IFERROR(ROUND(Tabel_opvolging2022[[#This Row],[forfait VdMII adv]]*$D$5,$D$8),  $D$6)</f>
        <v>3</v>
      </c>
      <c r="I34" s="337">
        <f>(Tabel_opvolging2022[[#This Row],[aantal opvolging pocedure 2022]] * (Tabel_opvolging2022[[#This Row],[toeslag opvolging VdM II prc]]-$D$6)) + (Tabel_opvolging2022[[#This Row],[aantal opvolging advies 2022*]] * (Tabel_opvolging2022[[#This Row],[toeslag opvolging VdM II adv]]-$D$6))</f>
        <v>9</v>
      </c>
      <c r="J34" s="335">
        <f>Tabel_opvolging2022[[#This Row],[totaal extra punten t.o.v. huidige toeslag]] * tarief_huidig</f>
        <v>1378.1295</v>
      </c>
      <c r="L34" s="328" t="s">
        <v>31</v>
      </c>
      <c r="M3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34" s="334">
        <f>IFERROR(INDEX(Tabel_forfaits[forfait VdM II voor berekening],MATCH(Tabel_opvolging2023[[#This Row],[Vaststelkategorie]],Tabel_forfaits[Zaakcode],0)), "n.v.t.")</f>
        <v>18</v>
      </c>
      <c r="O34" s="334">
        <f>IFERROR(ROUND(Tabel_opvolging2023[[#This Row],[forfait VdMII prc]]*$D$5,$D$8),  $D$6)</f>
        <v>5</v>
      </c>
      <c r="P34" s="334">
        <f>SUMIFS(bron_opvolging[toeslag opvolging AV],bron_opvolging[Jaar Besluit Rel1 Vas Datum],"2023",bron_opvolging[Vaststelkategorie],Tabel_opvolging2023[[#This Row],[Vaststelkategorie]]) / $D$6</f>
        <v>0</v>
      </c>
      <c r="Q34" s="334">
        <f>MIN($D$7,Tabel_opvolging2023[[#This Row],[forfait VdMII prc]])</f>
        <v>10</v>
      </c>
      <c r="R34" s="334">
        <f>IFERROR(ROUND(Tabel_opvolging2023[[#This Row],[forfait VdMII adv]]*$D$5,$D$8),  $D$6)</f>
        <v>3</v>
      </c>
      <c r="S34" s="334">
        <f>(Tabel_opvolging2023[[#This Row],[aantal opvolging procedure 2023]] * (Tabel_opvolging2023[[#This Row],[toeslag opvolging VdM II prc]]-$D$6)) + (Tabel_opvolging2023[[#This Row],[aantal opvolging advies 2023*]] * (Tabel_opvolging2023[[#This Row],[toeslag opvolging VdM II adv]]-$D$6))</f>
        <v>0</v>
      </c>
      <c r="T34" s="335">
        <f>Tabel_opvolging2023[[#This Row],[totaal extra punten t.o.v. huidige toeslag]] * tarief_huidig</f>
        <v>0</v>
      </c>
    </row>
    <row r="35" spans="2:20" x14ac:dyDescent="0.3">
      <c r="B35" s="328" t="s">
        <v>32</v>
      </c>
      <c r="C3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17</v>
      </c>
      <c r="D35" s="334">
        <f>IFERROR(INDEX(Tabel_forfaits[forfait VdM II voor berekening],MATCH(Tabel_opvolging2022[[#This Row],[Vaststelkategorie]],Tabel_forfaits[Zaakcode],0)), "n.v.t.")</f>
        <v>18</v>
      </c>
      <c r="E35" s="334">
        <f t="shared" si="0"/>
        <v>5</v>
      </c>
      <c r="F35" s="337">
        <f>SUMIFS(bron_opvolging[toeslag opvolging AV],bron_opvolging[Jaar Besluit Rel1 Vas Datum],"2022",bron_opvolging[Vaststelkategorie],Tabel_opvolging2022[[#This Row],[Vaststelkategorie]]) / $D$6</f>
        <v>13</v>
      </c>
      <c r="G35" s="334">
        <f>MIN($D$7,Tabel_opvolging2022[[#This Row],[forfait VdMII prc]])</f>
        <v>10</v>
      </c>
      <c r="H35" s="334">
        <f>IFERROR(ROUND(Tabel_opvolging2022[[#This Row],[forfait VdMII adv]]*$D$5,$D$8),  $D$6)</f>
        <v>3</v>
      </c>
      <c r="I35" s="337">
        <f>(Tabel_opvolging2022[[#This Row],[aantal opvolging pocedure 2022]] * (Tabel_opvolging2022[[#This Row],[toeslag opvolging VdM II prc]]-$D$6)) + (Tabel_opvolging2022[[#This Row],[aantal opvolging advies 2022*]] * (Tabel_opvolging2022[[#This Row],[toeslag opvolging VdM II adv]]-$D$6))</f>
        <v>64</v>
      </c>
      <c r="J35" s="335">
        <f>Tabel_opvolging2022[[#This Row],[totaal extra punten t.o.v. huidige toeslag]] * tarief_huidig</f>
        <v>9800.0319999999992</v>
      </c>
      <c r="L35" s="328" t="s">
        <v>32</v>
      </c>
      <c r="M3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14</v>
      </c>
      <c r="N35" s="334">
        <f>IFERROR(INDEX(Tabel_forfaits[forfait VdM II voor berekening],MATCH(Tabel_opvolging2023[[#This Row],[Vaststelkategorie]],Tabel_forfaits[Zaakcode],0)), "n.v.t.")</f>
        <v>18</v>
      </c>
      <c r="O35" s="334">
        <f>IFERROR(ROUND(Tabel_opvolging2023[[#This Row],[forfait VdMII prc]]*$D$5,$D$8),  $D$6)</f>
        <v>5</v>
      </c>
      <c r="P35" s="334">
        <f>SUMIFS(bron_opvolging[toeslag opvolging AV],bron_opvolging[Jaar Besluit Rel1 Vas Datum],"2023",bron_opvolging[Vaststelkategorie],Tabel_opvolging2023[[#This Row],[Vaststelkategorie]]) / $D$6</f>
        <v>13</v>
      </c>
      <c r="Q35" s="334">
        <f>MIN($D$7,Tabel_opvolging2023[[#This Row],[forfait VdMII prc]])</f>
        <v>10</v>
      </c>
      <c r="R35" s="334">
        <f>IFERROR(ROUND(Tabel_opvolging2023[[#This Row],[forfait VdMII adv]]*$D$5,$D$8),  $D$6)</f>
        <v>3</v>
      </c>
      <c r="S35" s="334">
        <f>(Tabel_opvolging2023[[#This Row],[aantal opvolging procedure 2023]] * (Tabel_opvolging2023[[#This Row],[toeslag opvolging VdM II prc]]-$D$6)) + (Tabel_opvolging2023[[#This Row],[aantal opvolging advies 2023*]] * (Tabel_opvolging2023[[#This Row],[toeslag opvolging VdM II adv]]-$D$6))</f>
        <v>55</v>
      </c>
      <c r="T35" s="335">
        <f>Tabel_opvolging2023[[#This Row],[totaal extra punten t.o.v. huidige toeslag]] * tarief_huidig</f>
        <v>8421.9025000000001</v>
      </c>
    </row>
    <row r="36" spans="2:20" x14ac:dyDescent="0.3">
      <c r="B36" s="328" t="s">
        <v>36</v>
      </c>
      <c r="C3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36" s="334">
        <f>IFERROR(INDEX(Tabel_forfaits[forfait VdM II voor berekening],MATCH(Tabel_opvolging2022[[#This Row],[Vaststelkategorie]],Tabel_forfaits[Zaakcode],0)), "n.v.t.")</f>
        <v>17</v>
      </c>
      <c r="E36" s="334">
        <f t="shared" si="0"/>
        <v>4</v>
      </c>
      <c r="F36" s="337">
        <f>SUMIFS(bron_opvolging[toeslag opvolging AV],bron_opvolging[Jaar Besluit Rel1 Vas Datum],"2022",bron_opvolging[Vaststelkategorie],Tabel_opvolging2022[[#This Row],[Vaststelkategorie]]) / $D$6</f>
        <v>0</v>
      </c>
      <c r="G36" s="334">
        <f>MIN($D$7,Tabel_opvolging2022[[#This Row],[forfait VdMII prc]])</f>
        <v>10</v>
      </c>
      <c r="H36" s="334">
        <f>IFERROR(ROUND(Tabel_opvolging2022[[#This Row],[forfait VdMII adv]]*$D$5,$D$8),  $D$6)</f>
        <v>3</v>
      </c>
      <c r="I36" s="337">
        <f>(Tabel_opvolging2022[[#This Row],[aantal opvolging pocedure 2022]] * (Tabel_opvolging2022[[#This Row],[toeslag opvolging VdM II prc]]-$D$6)) + (Tabel_opvolging2022[[#This Row],[aantal opvolging advies 2022*]] * (Tabel_opvolging2022[[#This Row],[toeslag opvolging VdM II adv]]-$D$6))</f>
        <v>2</v>
      </c>
      <c r="J36" s="335">
        <f>Tabel_opvolging2022[[#This Row],[totaal extra punten t.o.v. huidige toeslag]] * tarief_huidig</f>
        <v>306.25099999999998</v>
      </c>
      <c r="L36" s="328" t="s">
        <v>36</v>
      </c>
      <c r="M3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36" s="334">
        <f>IFERROR(INDEX(Tabel_forfaits[forfait VdM II voor berekening],MATCH(Tabel_opvolging2023[[#This Row],[Vaststelkategorie]],Tabel_forfaits[Zaakcode],0)), "n.v.t.")</f>
        <v>17</v>
      </c>
      <c r="O36" s="334">
        <f>IFERROR(ROUND(Tabel_opvolging2023[[#This Row],[forfait VdMII prc]]*$D$5,$D$8),  $D$6)</f>
        <v>4</v>
      </c>
      <c r="P36" s="334">
        <f>SUMIFS(bron_opvolging[toeslag opvolging AV],bron_opvolging[Jaar Besluit Rel1 Vas Datum],"2023",bron_opvolging[Vaststelkategorie],Tabel_opvolging2023[[#This Row],[Vaststelkategorie]]) / $D$6</f>
        <v>0</v>
      </c>
      <c r="Q36" s="334">
        <f>MIN($D$7,Tabel_opvolging2023[[#This Row],[forfait VdMII prc]])</f>
        <v>10</v>
      </c>
      <c r="R36" s="334">
        <f>IFERROR(ROUND(Tabel_opvolging2023[[#This Row],[forfait VdMII adv]]*$D$5,$D$8),  $D$6)</f>
        <v>3</v>
      </c>
      <c r="S36" s="334">
        <f>(Tabel_opvolging2023[[#This Row],[aantal opvolging procedure 2023]] * (Tabel_opvolging2023[[#This Row],[toeslag opvolging VdM II prc]]-$D$6)) + (Tabel_opvolging2023[[#This Row],[aantal opvolging advies 2023*]] * (Tabel_opvolging2023[[#This Row],[toeslag opvolging VdM II adv]]-$D$6))</f>
        <v>2</v>
      </c>
      <c r="T36" s="335">
        <f>Tabel_opvolging2023[[#This Row],[totaal extra punten t.o.v. huidige toeslag]] * tarief_huidig</f>
        <v>306.25099999999998</v>
      </c>
    </row>
    <row r="37" spans="2:20" x14ac:dyDescent="0.3">
      <c r="B37" s="328" t="s">
        <v>54</v>
      </c>
      <c r="C3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16</v>
      </c>
      <c r="D37" s="334">
        <f>IFERROR(INDEX(Tabel_forfaits[forfait VdM II voor berekening],MATCH(Tabel_opvolging2022[[#This Row],[Vaststelkategorie]],Tabel_forfaits[Zaakcode],0)), "n.v.t.")</f>
        <v>19</v>
      </c>
      <c r="E37" s="334">
        <f t="shared" si="0"/>
        <v>5</v>
      </c>
      <c r="F37" s="337">
        <f>SUMIFS(bron_opvolging[toeslag opvolging AV],bron_opvolging[Jaar Besluit Rel1 Vas Datum],"2022",bron_opvolging[Vaststelkategorie],Tabel_opvolging2022[[#This Row],[Vaststelkategorie]]) / $D$6</f>
        <v>9</v>
      </c>
      <c r="G37" s="334">
        <f>MIN($D$7,Tabel_opvolging2022[[#This Row],[forfait VdMII prc]])</f>
        <v>10</v>
      </c>
      <c r="H37" s="334">
        <f>IFERROR(ROUND(Tabel_opvolging2022[[#This Row],[forfait VdMII adv]]*$D$5,$D$8),  $D$6)</f>
        <v>3</v>
      </c>
      <c r="I37" s="337">
        <f>(Tabel_opvolging2022[[#This Row],[aantal opvolging pocedure 2022]] * (Tabel_opvolging2022[[#This Row],[toeslag opvolging VdM II prc]]-$D$6)) + (Tabel_opvolging2022[[#This Row],[aantal opvolging advies 2022*]] * (Tabel_opvolging2022[[#This Row],[toeslag opvolging VdM II adv]]-$D$6))</f>
        <v>57</v>
      </c>
      <c r="J37" s="335">
        <f>Tabel_opvolging2022[[#This Row],[totaal extra punten t.o.v. huidige toeslag]] * tarief_huidig</f>
        <v>8728.1534999999985</v>
      </c>
      <c r="L37" s="328" t="s">
        <v>54</v>
      </c>
      <c r="M3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14</v>
      </c>
      <c r="N37" s="334">
        <f>IFERROR(INDEX(Tabel_forfaits[forfait VdM II voor berekening],MATCH(Tabel_opvolging2023[[#This Row],[Vaststelkategorie]],Tabel_forfaits[Zaakcode],0)), "n.v.t.")</f>
        <v>19</v>
      </c>
      <c r="O37" s="334">
        <f>IFERROR(ROUND(Tabel_opvolging2023[[#This Row],[forfait VdMII prc]]*$D$5,$D$8),  $D$6)</f>
        <v>5</v>
      </c>
      <c r="P37" s="334">
        <f>SUMIFS(bron_opvolging[toeslag opvolging AV],bron_opvolging[Jaar Besluit Rel1 Vas Datum],"2023",bron_opvolging[Vaststelkategorie],Tabel_opvolging2023[[#This Row],[Vaststelkategorie]]) / $D$6</f>
        <v>10</v>
      </c>
      <c r="Q37" s="334">
        <f>MIN($D$7,Tabel_opvolging2023[[#This Row],[forfait VdMII prc]])</f>
        <v>10</v>
      </c>
      <c r="R37" s="334">
        <f>IFERROR(ROUND(Tabel_opvolging2023[[#This Row],[forfait VdMII adv]]*$D$5,$D$8),  $D$6)</f>
        <v>3</v>
      </c>
      <c r="S37" s="334">
        <f>(Tabel_opvolging2023[[#This Row],[aantal opvolging procedure 2023]] * (Tabel_opvolging2023[[#This Row],[toeslag opvolging VdM II prc]]-$D$6)) + (Tabel_opvolging2023[[#This Row],[aantal opvolging advies 2023*]] * (Tabel_opvolging2023[[#This Row],[toeslag opvolging VdM II adv]]-$D$6))</f>
        <v>52</v>
      </c>
      <c r="T37" s="335">
        <f>Tabel_opvolging2023[[#This Row],[totaal extra punten t.o.v. huidige toeslag]] * tarief_huidig</f>
        <v>7962.5259999999998</v>
      </c>
    </row>
    <row r="38" spans="2:20" x14ac:dyDescent="0.3">
      <c r="B38" s="328" t="s">
        <v>55</v>
      </c>
      <c r="C3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38" s="334">
        <f>IFERROR(INDEX(Tabel_forfaits[forfait VdM II voor berekening],MATCH(Tabel_opvolging2022[[#This Row],[Vaststelkategorie]],Tabel_forfaits[Zaakcode],0)), "n.v.t.")</f>
        <v>15</v>
      </c>
      <c r="E38" s="334">
        <f t="shared" si="0"/>
        <v>4</v>
      </c>
      <c r="F38" s="337">
        <f>SUMIFS(bron_opvolging[toeslag opvolging AV],bron_opvolging[Jaar Besluit Rel1 Vas Datum],"2022",bron_opvolging[Vaststelkategorie],Tabel_opvolging2022[[#This Row],[Vaststelkategorie]]) / $D$6</f>
        <v>2</v>
      </c>
      <c r="G38" s="334">
        <f>MIN($D$7,Tabel_opvolging2022[[#This Row],[forfait VdMII prc]])</f>
        <v>10</v>
      </c>
      <c r="H38" s="334">
        <f>IFERROR(ROUND(Tabel_opvolging2022[[#This Row],[forfait VdMII adv]]*$D$5,$D$8),  $D$6)</f>
        <v>3</v>
      </c>
      <c r="I38" s="337">
        <f>(Tabel_opvolging2022[[#This Row],[aantal opvolging pocedure 2022]] * (Tabel_opvolging2022[[#This Row],[toeslag opvolging VdM II prc]]-$D$6)) + (Tabel_opvolging2022[[#This Row],[aantal opvolging advies 2022*]] * (Tabel_opvolging2022[[#This Row],[toeslag opvolging VdM II adv]]-$D$6))</f>
        <v>4</v>
      </c>
      <c r="J38" s="335">
        <f>Tabel_opvolging2022[[#This Row],[totaal extra punten t.o.v. huidige toeslag]] * tarief_huidig</f>
        <v>612.50199999999995</v>
      </c>
      <c r="L38" s="328" t="s">
        <v>55</v>
      </c>
      <c r="M3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38" s="334">
        <f>IFERROR(INDEX(Tabel_forfaits[forfait VdM II voor berekening],MATCH(Tabel_opvolging2023[[#This Row],[Vaststelkategorie]],Tabel_forfaits[Zaakcode],0)), "n.v.t.")</f>
        <v>15</v>
      </c>
      <c r="O38" s="334">
        <f>IFERROR(ROUND(Tabel_opvolging2023[[#This Row],[forfait VdMII prc]]*$D$5,$D$8),  $D$6)</f>
        <v>4</v>
      </c>
      <c r="P38" s="334">
        <f>SUMIFS(bron_opvolging[toeslag opvolging AV],bron_opvolging[Jaar Besluit Rel1 Vas Datum],"2023",bron_opvolging[Vaststelkategorie],Tabel_opvolging2023[[#This Row],[Vaststelkategorie]]) / $D$6</f>
        <v>0</v>
      </c>
      <c r="Q38" s="334">
        <f>MIN($D$7,Tabel_opvolging2023[[#This Row],[forfait VdMII prc]])</f>
        <v>10</v>
      </c>
      <c r="R38" s="334">
        <f>IFERROR(ROUND(Tabel_opvolging2023[[#This Row],[forfait VdMII adv]]*$D$5,$D$8),  $D$6)</f>
        <v>3</v>
      </c>
      <c r="S38" s="334">
        <f>(Tabel_opvolging2023[[#This Row],[aantal opvolging procedure 2023]] * (Tabel_opvolging2023[[#This Row],[toeslag opvolging VdM II prc]]-$D$6)) + (Tabel_opvolging2023[[#This Row],[aantal opvolging advies 2023*]] * (Tabel_opvolging2023[[#This Row],[toeslag opvolging VdM II adv]]-$D$6))</f>
        <v>0</v>
      </c>
      <c r="T38" s="335">
        <f>Tabel_opvolging2023[[#This Row],[totaal extra punten t.o.v. huidige toeslag]] * tarief_huidig</f>
        <v>0</v>
      </c>
    </row>
    <row r="39" spans="2:20" x14ac:dyDescent="0.3">
      <c r="B39" s="328" t="s">
        <v>56</v>
      </c>
      <c r="C3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v>
      </c>
      <c r="D39" s="334">
        <f>IFERROR(INDEX(Tabel_forfaits[forfait VdM II voor berekening],MATCH(Tabel_opvolging2022[[#This Row],[Vaststelkategorie]],Tabel_forfaits[Zaakcode],0)), "n.v.t.")</f>
        <v>16</v>
      </c>
      <c r="E39" s="334">
        <f t="shared" si="0"/>
        <v>4</v>
      </c>
      <c r="F39" s="337">
        <f>SUMIFS(bron_opvolging[toeslag opvolging AV],bron_opvolging[Jaar Besluit Rel1 Vas Datum],"2022",bron_opvolging[Vaststelkategorie],Tabel_opvolging2022[[#This Row],[Vaststelkategorie]]) / $D$6</f>
        <v>3</v>
      </c>
      <c r="G39" s="334">
        <f>MIN($D$7,Tabel_opvolging2022[[#This Row],[forfait VdMII prc]])</f>
        <v>10</v>
      </c>
      <c r="H39" s="334">
        <f>IFERROR(ROUND(Tabel_opvolging2022[[#This Row],[forfait VdMII adv]]*$D$5,$D$8),  $D$6)</f>
        <v>3</v>
      </c>
      <c r="I39" s="337">
        <f>(Tabel_opvolging2022[[#This Row],[aantal opvolging pocedure 2022]] * (Tabel_opvolging2022[[#This Row],[toeslag opvolging VdM II prc]]-$D$6)) + (Tabel_opvolging2022[[#This Row],[aantal opvolging advies 2022*]] * (Tabel_opvolging2022[[#This Row],[toeslag opvolging VdM II adv]]-$D$6))</f>
        <v>7</v>
      </c>
      <c r="J39" s="335">
        <f>Tabel_opvolging2022[[#This Row],[totaal extra punten t.o.v. huidige toeslag]] * tarief_huidig</f>
        <v>1071.8784999999998</v>
      </c>
      <c r="L39" s="328" t="s">
        <v>56</v>
      </c>
      <c r="M3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39" s="334">
        <f>IFERROR(INDEX(Tabel_forfaits[forfait VdM II voor berekening],MATCH(Tabel_opvolging2023[[#This Row],[Vaststelkategorie]],Tabel_forfaits[Zaakcode],0)), "n.v.t.")</f>
        <v>16</v>
      </c>
      <c r="O39" s="334">
        <f>IFERROR(ROUND(Tabel_opvolging2023[[#This Row],[forfait VdMII prc]]*$D$5,$D$8),  $D$6)</f>
        <v>4</v>
      </c>
      <c r="P39" s="334">
        <f>SUMIFS(bron_opvolging[toeslag opvolging AV],bron_opvolging[Jaar Besluit Rel1 Vas Datum],"2023",bron_opvolging[Vaststelkategorie],Tabel_opvolging2023[[#This Row],[Vaststelkategorie]]) / $D$6</f>
        <v>1</v>
      </c>
      <c r="Q39" s="334">
        <f>MIN($D$7,Tabel_opvolging2023[[#This Row],[forfait VdMII prc]])</f>
        <v>10</v>
      </c>
      <c r="R39" s="334">
        <f>IFERROR(ROUND(Tabel_opvolging2023[[#This Row],[forfait VdMII adv]]*$D$5,$D$8),  $D$6)</f>
        <v>3</v>
      </c>
      <c r="S39" s="334">
        <f>(Tabel_opvolging2023[[#This Row],[aantal opvolging procedure 2023]] * (Tabel_opvolging2023[[#This Row],[toeslag opvolging VdM II prc]]-$D$6)) + (Tabel_opvolging2023[[#This Row],[aantal opvolging advies 2023*]] * (Tabel_opvolging2023[[#This Row],[toeslag opvolging VdM II adv]]-$D$6))</f>
        <v>9</v>
      </c>
      <c r="T39" s="335">
        <f>Tabel_opvolging2023[[#This Row],[totaal extra punten t.o.v. huidige toeslag]] * tarief_huidig</f>
        <v>1378.1295</v>
      </c>
    </row>
    <row r="40" spans="2:20" x14ac:dyDescent="0.3">
      <c r="B40" s="328" t="s">
        <v>57</v>
      </c>
      <c r="C4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88</v>
      </c>
      <c r="D40" s="334">
        <f>IFERROR(INDEX(Tabel_forfaits[forfait VdM II voor berekening],MATCH(Tabel_opvolging2022[[#This Row],[Vaststelkategorie]],Tabel_forfaits[Zaakcode],0)), "n.v.t.")</f>
        <v>14</v>
      </c>
      <c r="E40" s="334">
        <f t="shared" si="0"/>
        <v>4</v>
      </c>
      <c r="F40" s="337">
        <f>SUMIFS(bron_opvolging[toeslag opvolging AV],bron_opvolging[Jaar Besluit Rel1 Vas Datum],"2022",bron_opvolging[Vaststelkategorie],Tabel_opvolging2022[[#This Row],[Vaststelkategorie]]) / $D$6</f>
        <v>3</v>
      </c>
      <c r="G40" s="334">
        <f>MIN($D$7,Tabel_opvolging2022[[#This Row],[forfait VdMII prc]])</f>
        <v>10</v>
      </c>
      <c r="H40" s="334">
        <f>IFERROR(ROUND(Tabel_opvolging2022[[#This Row],[forfait VdMII adv]]*$D$5,$D$8),  $D$6)</f>
        <v>3</v>
      </c>
      <c r="I40" s="337">
        <f>(Tabel_opvolging2022[[#This Row],[aantal opvolging pocedure 2022]] * (Tabel_opvolging2022[[#This Row],[toeslag opvolging VdM II prc]]-$D$6)) + (Tabel_opvolging2022[[#This Row],[aantal opvolging advies 2022*]] * (Tabel_opvolging2022[[#This Row],[toeslag opvolging VdM II adv]]-$D$6))</f>
        <v>179</v>
      </c>
      <c r="J40" s="335">
        <f>Tabel_opvolging2022[[#This Row],[totaal extra punten t.o.v. huidige toeslag]] * tarief_huidig</f>
        <v>27409.464499999998</v>
      </c>
      <c r="L40" s="328" t="s">
        <v>57</v>
      </c>
      <c r="M4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90</v>
      </c>
      <c r="N40" s="334">
        <f>IFERROR(INDEX(Tabel_forfaits[forfait VdM II voor berekening],MATCH(Tabel_opvolging2023[[#This Row],[Vaststelkategorie]],Tabel_forfaits[Zaakcode],0)), "n.v.t.")</f>
        <v>14</v>
      </c>
      <c r="O40" s="334">
        <f>IFERROR(ROUND(Tabel_opvolging2023[[#This Row],[forfait VdMII prc]]*$D$5,$D$8),  $D$6)</f>
        <v>4</v>
      </c>
      <c r="P40" s="334">
        <f>SUMIFS(bron_opvolging[toeslag opvolging AV],bron_opvolging[Jaar Besluit Rel1 Vas Datum],"2023",bron_opvolging[Vaststelkategorie],Tabel_opvolging2023[[#This Row],[Vaststelkategorie]]) / $D$6</f>
        <v>4</v>
      </c>
      <c r="Q40" s="334">
        <f>MIN($D$7,Tabel_opvolging2023[[#This Row],[forfait VdMII prc]])</f>
        <v>10</v>
      </c>
      <c r="R40" s="334">
        <f>IFERROR(ROUND(Tabel_opvolging2023[[#This Row],[forfait VdMII adv]]*$D$5,$D$8),  $D$6)</f>
        <v>3</v>
      </c>
      <c r="S40" s="334">
        <f>(Tabel_opvolging2023[[#This Row],[aantal opvolging procedure 2023]] * (Tabel_opvolging2023[[#This Row],[toeslag opvolging VdM II prc]]-$D$6)) + (Tabel_opvolging2023[[#This Row],[aantal opvolging advies 2023*]] * (Tabel_opvolging2023[[#This Row],[toeslag opvolging VdM II adv]]-$D$6))</f>
        <v>184</v>
      </c>
      <c r="T40" s="335">
        <f>Tabel_opvolging2023[[#This Row],[totaal extra punten t.o.v. huidige toeslag]] * tarief_huidig</f>
        <v>28175.091999999997</v>
      </c>
    </row>
    <row r="41" spans="2:20" x14ac:dyDescent="0.3">
      <c r="B41" s="328" t="s">
        <v>58</v>
      </c>
      <c r="C4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8</v>
      </c>
      <c r="D41" s="334">
        <f>IFERROR(INDEX(Tabel_forfaits[forfait VdM II voor berekening],MATCH(Tabel_opvolging2022[[#This Row],[Vaststelkategorie]],Tabel_forfaits[Zaakcode],0)), "n.v.t.")</f>
        <v>19</v>
      </c>
      <c r="E41" s="334">
        <f t="shared" si="0"/>
        <v>5</v>
      </c>
      <c r="F41" s="337">
        <f>SUMIFS(bron_opvolging[toeslag opvolging AV],bron_opvolging[Jaar Besluit Rel1 Vas Datum],"2022",bron_opvolging[Vaststelkategorie],Tabel_opvolging2022[[#This Row],[Vaststelkategorie]]) / $D$6</f>
        <v>2</v>
      </c>
      <c r="G41" s="334">
        <f>MIN($D$7,Tabel_opvolging2022[[#This Row],[forfait VdMII prc]])</f>
        <v>10</v>
      </c>
      <c r="H41" s="334">
        <f>IFERROR(ROUND(Tabel_opvolging2022[[#This Row],[forfait VdMII adv]]*$D$5,$D$8),  $D$6)</f>
        <v>3</v>
      </c>
      <c r="I41" s="337">
        <f>(Tabel_opvolging2022[[#This Row],[aantal opvolging pocedure 2022]] * (Tabel_opvolging2022[[#This Row],[toeslag opvolging VdM II prc]]-$D$6)) + (Tabel_opvolging2022[[#This Row],[aantal opvolging advies 2022*]] * (Tabel_opvolging2022[[#This Row],[toeslag opvolging VdM II adv]]-$D$6))</f>
        <v>26</v>
      </c>
      <c r="J41" s="335">
        <f>Tabel_opvolging2022[[#This Row],[totaal extra punten t.o.v. huidige toeslag]] * tarief_huidig</f>
        <v>3981.2629999999999</v>
      </c>
      <c r="L41" s="328" t="s">
        <v>58</v>
      </c>
      <c r="M4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41" s="334">
        <f>IFERROR(INDEX(Tabel_forfaits[forfait VdM II voor berekening],MATCH(Tabel_opvolging2023[[#This Row],[Vaststelkategorie]],Tabel_forfaits[Zaakcode],0)), "n.v.t.")</f>
        <v>19</v>
      </c>
      <c r="O41" s="334">
        <f>IFERROR(ROUND(Tabel_opvolging2023[[#This Row],[forfait VdMII prc]]*$D$5,$D$8),  $D$6)</f>
        <v>5</v>
      </c>
      <c r="P41" s="334">
        <f>SUMIFS(bron_opvolging[toeslag opvolging AV],bron_opvolging[Jaar Besluit Rel1 Vas Datum],"2023",bron_opvolging[Vaststelkategorie],Tabel_opvolging2023[[#This Row],[Vaststelkategorie]]) / $D$6</f>
        <v>2</v>
      </c>
      <c r="Q41" s="334">
        <f>MIN($D$7,Tabel_opvolging2023[[#This Row],[forfait VdMII prc]])</f>
        <v>10</v>
      </c>
      <c r="R41" s="334">
        <f>IFERROR(ROUND(Tabel_opvolging2023[[#This Row],[forfait VdMII adv]]*$D$5,$D$8),  $D$6)</f>
        <v>3</v>
      </c>
      <c r="S41" s="334">
        <f>(Tabel_opvolging2023[[#This Row],[aantal opvolging procedure 2023]] * (Tabel_opvolging2023[[#This Row],[toeslag opvolging VdM II prc]]-$D$6)) + (Tabel_opvolging2023[[#This Row],[aantal opvolging advies 2023*]] * (Tabel_opvolging2023[[#This Row],[toeslag opvolging VdM II adv]]-$D$6))</f>
        <v>14</v>
      </c>
      <c r="T41" s="335">
        <f>Tabel_opvolging2023[[#This Row],[totaal extra punten t.o.v. huidige toeslag]] * tarief_huidig</f>
        <v>2143.7569999999996</v>
      </c>
    </row>
    <row r="42" spans="2:20" x14ac:dyDescent="0.3">
      <c r="B42" s="328" t="s">
        <v>59</v>
      </c>
      <c r="C4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44</v>
      </c>
      <c r="D42" s="334">
        <f>IFERROR(INDEX(Tabel_forfaits[forfait VdM II voor berekening],MATCH(Tabel_opvolging2022[[#This Row],[Vaststelkategorie]],Tabel_forfaits[Zaakcode],0)), "n.v.t.")</f>
        <v>19</v>
      </c>
      <c r="E42" s="334">
        <f t="shared" si="0"/>
        <v>5</v>
      </c>
      <c r="F42" s="337">
        <f>SUMIFS(bron_opvolging[toeslag opvolging AV],bron_opvolging[Jaar Besluit Rel1 Vas Datum],"2022",bron_opvolging[Vaststelkategorie],Tabel_opvolging2022[[#This Row],[Vaststelkategorie]]) / $D$6</f>
        <v>18</v>
      </c>
      <c r="G42" s="334">
        <f>MIN($D$7,Tabel_opvolging2022[[#This Row],[forfait VdMII prc]])</f>
        <v>10</v>
      </c>
      <c r="H42" s="334">
        <f>IFERROR(ROUND(Tabel_opvolging2022[[#This Row],[forfait VdMII adv]]*$D$5,$D$8),  $D$6)</f>
        <v>3</v>
      </c>
      <c r="I42" s="337">
        <f>(Tabel_opvolging2022[[#This Row],[aantal opvolging pocedure 2022]] * (Tabel_opvolging2022[[#This Row],[toeslag opvolging VdM II prc]]-$D$6)) + (Tabel_opvolging2022[[#This Row],[aantal opvolging advies 2022*]] * (Tabel_opvolging2022[[#This Row],[toeslag opvolging VdM II adv]]-$D$6))</f>
        <v>150</v>
      </c>
      <c r="J42" s="335">
        <f>Tabel_opvolging2022[[#This Row],[totaal extra punten t.o.v. huidige toeslag]] * tarief_huidig</f>
        <v>22968.824999999997</v>
      </c>
      <c r="L42" s="328" t="s">
        <v>59</v>
      </c>
      <c r="M4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29</v>
      </c>
      <c r="N42" s="334">
        <f>IFERROR(INDEX(Tabel_forfaits[forfait VdM II voor berekening],MATCH(Tabel_opvolging2023[[#This Row],[Vaststelkategorie]],Tabel_forfaits[Zaakcode],0)), "n.v.t.")</f>
        <v>19</v>
      </c>
      <c r="O42" s="334">
        <f>IFERROR(ROUND(Tabel_opvolging2023[[#This Row],[forfait VdMII prc]]*$D$5,$D$8),  $D$6)</f>
        <v>5</v>
      </c>
      <c r="P42" s="334">
        <f>SUMIFS(bron_opvolging[toeslag opvolging AV],bron_opvolging[Jaar Besluit Rel1 Vas Datum],"2023",bron_opvolging[Vaststelkategorie],Tabel_opvolging2023[[#This Row],[Vaststelkategorie]]) / $D$6</f>
        <v>17</v>
      </c>
      <c r="Q42" s="334">
        <f>MIN($D$7,Tabel_opvolging2023[[#This Row],[forfait VdMII prc]])</f>
        <v>10</v>
      </c>
      <c r="R42" s="334">
        <f>IFERROR(ROUND(Tabel_opvolging2023[[#This Row],[forfait VdMII adv]]*$D$5,$D$8),  $D$6)</f>
        <v>3</v>
      </c>
      <c r="S42" s="334">
        <f>(Tabel_opvolging2023[[#This Row],[aantal opvolging procedure 2023]] * (Tabel_opvolging2023[[#This Row],[toeslag opvolging VdM II prc]]-$D$6)) + (Tabel_opvolging2023[[#This Row],[aantal opvolging advies 2023*]] * (Tabel_opvolging2023[[#This Row],[toeslag opvolging VdM II adv]]-$D$6))</f>
        <v>104</v>
      </c>
      <c r="T42" s="335">
        <f>Tabel_opvolging2023[[#This Row],[totaal extra punten t.o.v. huidige toeslag]] * tarief_huidig</f>
        <v>15925.052</v>
      </c>
    </row>
    <row r="43" spans="2:20" x14ac:dyDescent="0.3">
      <c r="B43" s="328" t="s">
        <v>60</v>
      </c>
      <c r="C4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43" s="334">
        <f>IFERROR(INDEX(Tabel_forfaits[forfait VdM II voor berekening],MATCH(Tabel_opvolging2022[[#This Row],[Vaststelkategorie]],Tabel_forfaits[Zaakcode],0)), "n.v.t.")</f>
        <v>13</v>
      </c>
      <c r="E43" s="334">
        <f t="shared" si="0"/>
        <v>3</v>
      </c>
      <c r="F43" s="337">
        <f>SUMIFS(bron_opvolging[toeslag opvolging AV],bron_opvolging[Jaar Besluit Rel1 Vas Datum],"2022",bron_opvolging[Vaststelkategorie],Tabel_opvolging2022[[#This Row],[Vaststelkategorie]]) / $D$6</f>
        <v>0</v>
      </c>
      <c r="G43" s="334">
        <f>MIN($D$7,Tabel_opvolging2022[[#This Row],[forfait VdMII prc]])</f>
        <v>10</v>
      </c>
      <c r="H43" s="334">
        <f>IFERROR(ROUND(Tabel_opvolging2022[[#This Row],[forfait VdMII adv]]*$D$5,$D$8),  $D$6)</f>
        <v>3</v>
      </c>
      <c r="I43" s="337">
        <f>(Tabel_opvolging2022[[#This Row],[aantal opvolging pocedure 2022]] * (Tabel_opvolging2022[[#This Row],[toeslag opvolging VdM II prc]]-$D$6)) + (Tabel_opvolging2022[[#This Row],[aantal opvolging advies 2022*]] * (Tabel_opvolging2022[[#This Row],[toeslag opvolging VdM II adv]]-$D$6))</f>
        <v>1</v>
      </c>
      <c r="J43" s="335">
        <f>Tabel_opvolging2022[[#This Row],[totaal extra punten t.o.v. huidige toeslag]] * tarief_huidig</f>
        <v>153.12549999999999</v>
      </c>
      <c r="L43" s="328" t="s">
        <v>60</v>
      </c>
      <c r="M4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43" s="334">
        <f>IFERROR(INDEX(Tabel_forfaits[forfait VdM II voor berekening],MATCH(Tabel_opvolging2023[[#This Row],[Vaststelkategorie]],Tabel_forfaits[Zaakcode],0)), "n.v.t.")</f>
        <v>13</v>
      </c>
      <c r="O43" s="334">
        <f>IFERROR(ROUND(Tabel_opvolging2023[[#This Row],[forfait VdMII prc]]*$D$5,$D$8),  $D$6)</f>
        <v>3</v>
      </c>
      <c r="P43" s="334">
        <f>SUMIFS(bron_opvolging[toeslag opvolging AV],bron_opvolging[Jaar Besluit Rel1 Vas Datum],"2023",bron_opvolging[Vaststelkategorie],Tabel_opvolging2023[[#This Row],[Vaststelkategorie]]) / $D$6</f>
        <v>0</v>
      </c>
      <c r="Q43" s="334">
        <f>MIN($D$7,Tabel_opvolging2023[[#This Row],[forfait VdMII prc]])</f>
        <v>10</v>
      </c>
      <c r="R43" s="334">
        <f>IFERROR(ROUND(Tabel_opvolging2023[[#This Row],[forfait VdMII adv]]*$D$5,$D$8),  $D$6)</f>
        <v>3</v>
      </c>
      <c r="S43" s="334">
        <f>(Tabel_opvolging2023[[#This Row],[aantal opvolging procedure 2023]] * (Tabel_opvolging2023[[#This Row],[toeslag opvolging VdM II prc]]-$D$6)) + (Tabel_opvolging2023[[#This Row],[aantal opvolging advies 2023*]] * (Tabel_opvolging2023[[#This Row],[toeslag opvolging VdM II adv]]-$D$6))</f>
        <v>2</v>
      </c>
      <c r="T43" s="335">
        <f>Tabel_opvolging2023[[#This Row],[totaal extra punten t.o.v. huidige toeslag]] * tarief_huidig</f>
        <v>306.25099999999998</v>
      </c>
    </row>
    <row r="44" spans="2:20" x14ac:dyDescent="0.3">
      <c r="B44" s="328" t="s">
        <v>61</v>
      </c>
      <c r="C4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5</v>
      </c>
      <c r="D44" s="334">
        <f>IFERROR(INDEX(Tabel_forfaits[forfait VdM II voor berekening],MATCH(Tabel_opvolging2022[[#This Row],[Vaststelkategorie]],Tabel_forfaits[Zaakcode],0)), "n.v.t.")</f>
        <v>18</v>
      </c>
      <c r="E44" s="334">
        <f t="shared" si="0"/>
        <v>5</v>
      </c>
      <c r="F44" s="337">
        <f>SUMIFS(bron_opvolging[toeslag opvolging AV],bron_opvolging[Jaar Besluit Rel1 Vas Datum],"2022",bron_opvolging[Vaststelkategorie],Tabel_opvolging2022[[#This Row],[Vaststelkategorie]]) / $D$6</f>
        <v>8</v>
      </c>
      <c r="G44" s="334">
        <f>MIN($D$7,Tabel_opvolging2022[[#This Row],[forfait VdMII prc]])</f>
        <v>10</v>
      </c>
      <c r="H44" s="334">
        <f>IFERROR(ROUND(Tabel_opvolging2022[[#This Row],[forfait VdMII adv]]*$D$5,$D$8),  $D$6)</f>
        <v>3</v>
      </c>
      <c r="I44" s="337">
        <f>(Tabel_opvolging2022[[#This Row],[aantal opvolging pocedure 2022]] * (Tabel_opvolging2022[[#This Row],[toeslag opvolging VdM II prc]]-$D$6)) + (Tabel_opvolging2022[[#This Row],[aantal opvolging advies 2022*]] * (Tabel_opvolging2022[[#This Row],[toeslag opvolging VdM II adv]]-$D$6))</f>
        <v>23</v>
      </c>
      <c r="J44" s="335">
        <f>Tabel_opvolging2022[[#This Row],[totaal extra punten t.o.v. huidige toeslag]] * tarief_huidig</f>
        <v>3521.8864999999996</v>
      </c>
      <c r="L44" s="328" t="s">
        <v>61</v>
      </c>
      <c r="M4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44" s="334">
        <f>IFERROR(INDEX(Tabel_forfaits[forfait VdM II voor berekening],MATCH(Tabel_opvolging2023[[#This Row],[Vaststelkategorie]],Tabel_forfaits[Zaakcode],0)), "n.v.t.")</f>
        <v>18</v>
      </c>
      <c r="O44" s="334">
        <f>IFERROR(ROUND(Tabel_opvolging2023[[#This Row],[forfait VdMII prc]]*$D$5,$D$8),  $D$6)</f>
        <v>5</v>
      </c>
      <c r="P44" s="334">
        <f>SUMIFS(bron_opvolging[toeslag opvolging AV],bron_opvolging[Jaar Besluit Rel1 Vas Datum],"2023",bron_opvolging[Vaststelkategorie],Tabel_opvolging2023[[#This Row],[Vaststelkategorie]]) / $D$6</f>
        <v>16</v>
      </c>
      <c r="Q44" s="334">
        <f>MIN($D$7,Tabel_opvolging2023[[#This Row],[forfait VdMII prc]])</f>
        <v>10</v>
      </c>
      <c r="R44" s="334">
        <f>IFERROR(ROUND(Tabel_opvolging2023[[#This Row],[forfait VdMII adv]]*$D$5,$D$8),  $D$6)</f>
        <v>3</v>
      </c>
      <c r="S44" s="334">
        <f>(Tabel_opvolging2023[[#This Row],[aantal opvolging procedure 2023]] * (Tabel_opvolging2023[[#This Row],[toeslag opvolging VdM II prc]]-$D$6)) + (Tabel_opvolging2023[[#This Row],[aantal opvolging advies 2023*]] * (Tabel_opvolging2023[[#This Row],[toeslag opvolging VdM II adv]]-$D$6))</f>
        <v>19</v>
      </c>
      <c r="T44" s="335">
        <f>Tabel_opvolging2023[[#This Row],[totaal extra punten t.o.v. huidige toeslag]] * tarief_huidig</f>
        <v>2909.3844999999997</v>
      </c>
    </row>
    <row r="45" spans="2:20" x14ac:dyDescent="0.3">
      <c r="B45" s="328" t="s">
        <v>62</v>
      </c>
      <c r="C4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45" s="334" t="str">
        <f>IFERROR(INDEX(Tabel_forfaits[forfait VdM II voor berekening],MATCH(Tabel_opvolging2022[[#This Row],[Vaststelkategorie]],Tabel_forfaits[Zaakcode],0)), "n.v.t.")</f>
        <v>n.v.t.</v>
      </c>
      <c r="E45" s="334">
        <f t="shared" si="0"/>
        <v>2</v>
      </c>
      <c r="F45" s="337">
        <f>SUMIFS(bron_opvolging[toeslag opvolging AV],bron_opvolging[Jaar Besluit Rel1 Vas Datum],"2022",bron_opvolging[Vaststelkategorie],Tabel_opvolging2022[[#This Row],[Vaststelkategorie]]) / $D$6</f>
        <v>1</v>
      </c>
      <c r="G45" s="334">
        <f>MIN($D$7,Tabel_opvolging2022[[#This Row],[forfait VdMII prc]])</f>
        <v>10</v>
      </c>
      <c r="H45" s="334">
        <f>IFERROR(ROUND(Tabel_opvolging2022[[#This Row],[forfait VdMII adv]]*$D$5,$D$8),  $D$6)</f>
        <v>3</v>
      </c>
      <c r="I45" s="337">
        <f>(Tabel_opvolging2022[[#This Row],[aantal opvolging pocedure 2022]] * (Tabel_opvolging2022[[#This Row],[toeslag opvolging VdM II prc]]-$D$6)) + (Tabel_opvolging2022[[#This Row],[aantal opvolging advies 2022*]] * (Tabel_opvolging2022[[#This Row],[toeslag opvolging VdM II adv]]-$D$6))</f>
        <v>1</v>
      </c>
      <c r="J45" s="335">
        <f>Tabel_opvolging2022[[#This Row],[totaal extra punten t.o.v. huidige toeslag]] * tarief_huidig</f>
        <v>153.12549999999999</v>
      </c>
      <c r="L45" s="328" t="s">
        <v>62</v>
      </c>
      <c r="M4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45" s="334" t="str">
        <f>IFERROR(INDEX(Tabel_forfaits[forfait VdM II voor berekening],MATCH(Tabel_opvolging2023[[#This Row],[Vaststelkategorie]],Tabel_forfaits[Zaakcode],0)), "n.v.t.")</f>
        <v>n.v.t.</v>
      </c>
      <c r="O45" s="334">
        <f>IFERROR(ROUND(Tabel_opvolging2023[[#This Row],[forfait VdMII prc]]*$D$5,$D$8),  $D$6)</f>
        <v>2</v>
      </c>
      <c r="P45" s="334">
        <f>SUMIFS(bron_opvolging[toeslag opvolging AV],bron_opvolging[Jaar Besluit Rel1 Vas Datum],"2023",bron_opvolging[Vaststelkategorie],Tabel_opvolging2023[[#This Row],[Vaststelkategorie]]) / $D$6</f>
        <v>0</v>
      </c>
      <c r="Q45" s="334">
        <f>MIN($D$7,Tabel_opvolging2023[[#This Row],[forfait VdMII prc]])</f>
        <v>10</v>
      </c>
      <c r="R45" s="334">
        <f>IFERROR(ROUND(Tabel_opvolging2023[[#This Row],[forfait VdMII adv]]*$D$5,$D$8),  $D$6)</f>
        <v>3</v>
      </c>
      <c r="S45" s="334">
        <f>(Tabel_opvolging2023[[#This Row],[aantal opvolging procedure 2023]] * (Tabel_opvolging2023[[#This Row],[toeslag opvolging VdM II prc]]-$D$6)) + (Tabel_opvolging2023[[#This Row],[aantal opvolging advies 2023*]] * (Tabel_opvolging2023[[#This Row],[toeslag opvolging VdM II adv]]-$D$6))</f>
        <v>0</v>
      </c>
      <c r="T45" s="335">
        <f>Tabel_opvolging2023[[#This Row],[totaal extra punten t.o.v. huidige toeslag]] * tarief_huidig</f>
        <v>0</v>
      </c>
    </row>
    <row r="46" spans="2:20" x14ac:dyDescent="0.3">
      <c r="B46" s="328" t="s">
        <v>64</v>
      </c>
      <c r="C4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46" s="334" t="str">
        <f>IFERROR(INDEX(Tabel_forfaits[forfait VdM II voor berekening],MATCH(Tabel_opvolging2022[[#This Row],[Vaststelkategorie]],Tabel_forfaits[Zaakcode],0)), "n.v.t.")</f>
        <v>n.v.t.</v>
      </c>
      <c r="E46" s="334">
        <f t="shared" si="0"/>
        <v>2</v>
      </c>
      <c r="F46" s="337">
        <f>SUMIFS(bron_opvolging[toeslag opvolging AV],bron_opvolging[Jaar Besluit Rel1 Vas Datum],"2022",bron_opvolging[Vaststelkategorie],Tabel_opvolging2022[[#This Row],[Vaststelkategorie]]) / $D$6</f>
        <v>7</v>
      </c>
      <c r="G46" s="334">
        <f>MIN($D$7,Tabel_opvolging2022[[#This Row],[forfait VdMII prc]])</f>
        <v>10</v>
      </c>
      <c r="H46" s="334">
        <f>IFERROR(ROUND(Tabel_opvolging2022[[#This Row],[forfait VdMII adv]]*$D$5,$D$8),  $D$6)</f>
        <v>3</v>
      </c>
      <c r="I46" s="337">
        <f>(Tabel_opvolging2022[[#This Row],[aantal opvolging pocedure 2022]] * (Tabel_opvolging2022[[#This Row],[toeslag opvolging VdM II prc]]-$D$6)) + (Tabel_opvolging2022[[#This Row],[aantal opvolging advies 2022*]] * (Tabel_opvolging2022[[#This Row],[toeslag opvolging VdM II adv]]-$D$6))</f>
        <v>7</v>
      </c>
      <c r="J46" s="335">
        <f>Tabel_opvolging2022[[#This Row],[totaal extra punten t.o.v. huidige toeslag]] * tarief_huidig</f>
        <v>1071.8784999999998</v>
      </c>
      <c r="L46" s="328" t="s">
        <v>64</v>
      </c>
      <c r="M4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46" s="334" t="str">
        <f>IFERROR(INDEX(Tabel_forfaits[forfait VdM II voor berekening],MATCH(Tabel_opvolging2023[[#This Row],[Vaststelkategorie]],Tabel_forfaits[Zaakcode],0)), "n.v.t.")</f>
        <v>n.v.t.</v>
      </c>
      <c r="O46" s="334">
        <f>IFERROR(ROUND(Tabel_opvolging2023[[#This Row],[forfait VdMII prc]]*$D$5,$D$8),  $D$6)</f>
        <v>2</v>
      </c>
      <c r="P46" s="334">
        <f>SUMIFS(bron_opvolging[toeslag opvolging AV],bron_opvolging[Jaar Besluit Rel1 Vas Datum],"2023",bron_opvolging[Vaststelkategorie],Tabel_opvolging2023[[#This Row],[Vaststelkategorie]]) / $D$6</f>
        <v>3</v>
      </c>
      <c r="Q46" s="334">
        <f>MIN($D$7,Tabel_opvolging2023[[#This Row],[forfait VdMII prc]])</f>
        <v>10</v>
      </c>
      <c r="R46" s="334">
        <f>IFERROR(ROUND(Tabel_opvolging2023[[#This Row],[forfait VdMII adv]]*$D$5,$D$8),  $D$6)</f>
        <v>3</v>
      </c>
      <c r="S46" s="334">
        <f>(Tabel_opvolging2023[[#This Row],[aantal opvolging procedure 2023]] * (Tabel_opvolging2023[[#This Row],[toeslag opvolging VdM II prc]]-$D$6)) + (Tabel_opvolging2023[[#This Row],[aantal opvolging advies 2023*]] * (Tabel_opvolging2023[[#This Row],[toeslag opvolging VdM II adv]]-$D$6))</f>
        <v>3</v>
      </c>
      <c r="T46" s="335">
        <f>Tabel_opvolging2023[[#This Row],[totaal extra punten t.o.v. huidige toeslag]] * tarief_huidig</f>
        <v>459.37649999999996</v>
      </c>
    </row>
    <row r="47" spans="2:20" x14ac:dyDescent="0.3">
      <c r="B47" s="328" t="s">
        <v>65</v>
      </c>
      <c r="C4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47" s="334" t="str">
        <f>IFERROR(INDEX(Tabel_forfaits[forfait VdM II voor berekening],MATCH(Tabel_opvolging2022[[#This Row],[Vaststelkategorie]],Tabel_forfaits[Zaakcode],0)), "n.v.t.")</f>
        <v>n.v.t.</v>
      </c>
      <c r="E47" s="334">
        <f t="shared" ref="E47:E78" si="1">IFERROR(ROUND(D47*$D$5,$D$8),  $D$6)</f>
        <v>2</v>
      </c>
      <c r="F47" s="337">
        <f>SUMIFS(bron_opvolging[toeslag opvolging AV],bron_opvolging[Jaar Besluit Rel1 Vas Datum],"2022",bron_opvolging[Vaststelkategorie],Tabel_opvolging2022[[#This Row],[Vaststelkategorie]]) / $D$6</f>
        <v>1</v>
      </c>
      <c r="G47" s="334">
        <f>MIN($D$7,Tabel_opvolging2022[[#This Row],[forfait VdMII prc]])</f>
        <v>10</v>
      </c>
      <c r="H47" s="334">
        <f>IFERROR(ROUND(Tabel_opvolging2022[[#This Row],[forfait VdMII adv]]*$D$5,$D$8),  $D$6)</f>
        <v>3</v>
      </c>
      <c r="I47" s="337">
        <f>(Tabel_opvolging2022[[#This Row],[aantal opvolging pocedure 2022]] * (Tabel_opvolging2022[[#This Row],[toeslag opvolging VdM II prc]]-$D$6)) + (Tabel_opvolging2022[[#This Row],[aantal opvolging advies 2022*]] * (Tabel_opvolging2022[[#This Row],[toeslag opvolging VdM II adv]]-$D$6))</f>
        <v>1</v>
      </c>
      <c r="J47" s="335">
        <f>Tabel_opvolging2022[[#This Row],[totaal extra punten t.o.v. huidige toeslag]] * tarief_huidig</f>
        <v>153.12549999999999</v>
      </c>
      <c r="L47" s="328" t="s">
        <v>65</v>
      </c>
      <c r="M4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47" s="334" t="str">
        <f>IFERROR(INDEX(Tabel_forfaits[forfait VdM II voor berekening],MATCH(Tabel_opvolging2023[[#This Row],[Vaststelkategorie]],Tabel_forfaits[Zaakcode],0)), "n.v.t.")</f>
        <v>n.v.t.</v>
      </c>
      <c r="O47" s="334">
        <f>IFERROR(ROUND(Tabel_opvolging2023[[#This Row],[forfait VdMII prc]]*$D$5,$D$8),  $D$6)</f>
        <v>2</v>
      </c>
      <c r="P47" s="334">
        <f>SUMIFS(bron_opvolging[toeslag opvolging AV],bron_opvolging[Jaar Besluit Rel1 Vas Datum],"2023",bron_opvolging[Vaststelkategorie],Tabel_opvolging2023[[#This Row],[Vaststelkategorie]]) / $D$6</f>
        <v>0</v>
      </c>
      <c r="Q47" s="334">
        <f>MIN($D$7,Tabel_opvolging2023[[#This Row],[forfait VdMII prc]])</f>
        <v>10</v>
      </c>
      <c r="R47" s="334">
        <f>IFERROR(ROUND(Tabel_opvolging2023[[#This Row],[forfait VdMII adv]]*$D$5,$D$8),  $D$6)</f>
        <v>3</v>
      </c>
      <c r="S47" s="334">
        <f>(Tabel_opvolging2023[[#This Row],[aantal opvolging procedure 2023]] * (Tabel_opvolging2023[[#This Row],[toeslag opvolging VdM II prc]]-$D$6)) + (Tabel_opvolging2023[[#This Row],[aantal opvolging advies 2023*]] * (Tabel_opvolging2023[[#This Row],[toeslag opvolging VdM II adv]]-$D$6))</f>
        <v>0</v>
      </c>
      <c r="T47" s="335">
        <f>Tabel_opvolging2023[[#This Row],[totaal extra punten t.o.v. huidige toeslag]] * tarief_huidig</f>
        <v>0</v>
      </c>
    </row>
    <row r="48" spans="2:20" x14ac:dyDescent="0.3">
      <c r="B48" s="328" t="s">
        <v>68</v>
      </c>
      <c r="C4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278</v>
      </c>
      <c r="D48" s="334">
        <f>IFERROR(INDEX(Tabel_forfaits[forfait VdM II voor berekening],MATCH(Tabel_opvolging2022[[#This Row],[Vaststelkategorie]],Tabel_forfaits[Zaakcode],0)), "n.v.t.")</f>
        <v>12</v>
      </c>
      <c r="E48" s="334">
        <f t="shared" si="1"/>
        <v>3</v>
      </c>
      <c r="F48" s="337">
        <f>SUMIFS(bron_opvolging[toeslag opvolging AV],bron_opvolging[Jaar Besluit Rel1 Vas Datum],"2022",bron_opvolging[Vaststelkategorie],Tabel_opvolging2022[[#This Row],[Vaststelkategorie]]) / $D$6</f>
        <v>12</v>
      </c>
      <c r="G48" s="334">
        <f>MIN($D$7,Tabel_opvolging2022[[#This Row],[forfait VdMII prc]])</f>
        <v>10</v>
      </c>
      <c r="H48" s="334">
        <f>IFERROR(ROUND(Tabel_opvolging2022[[#This Row],[forfait VdMII adv]]*$D$5,$D$8),  $D$6)</f>
        <v>3</v>
      </c>
      <c r="I48" s="337">
        <f>(Tabel_opvolging2022[[#This Row],[aantal opvolging pocedure 2022]] * (Tabel_opvolging2022[[#This Row],[toeslag opvolging VdM II prc]]-$D$6)) + (Tabel_opvolging2022[[#This Row],[aantal opvolging advies 2022*]] * (Tabel_opvolging2022[[#This Row],[toeslag opvolging VdM II adv]]-$D$6))</f>
        <v>290</v>
      </c>
      <c r="J48" s="335">
        <f>Tabel_opvolging2022[[#This Row],[totaal extra punten t.o.v. huidige toeslag]] * tarief_huidig</f>
        <v>44406.394999999997</v>
      </c>
      <c r="L48" s="328" t="s">
        <v>68</v>
      </c>
      <c r="M4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132</v>
      </c>
      <c r="N48" s="334">
        <f>IFERROR(INDEX(Tabel_forfaits[forfait VdM II voor berekening],MATCH(Tabel_opvolging2023[[#This Row],[Vaststelkategorie]],Tabel_forfaits[Zaakcode],0)), "n.v.t.")</f>
        <v>12</v>
      </c>
      <c r="O48" s="334">
        <f>IFERROR(ROUND(Tabel_opvolging2023[[#This Row],[forfait VdMII prc]]*$D$5,$D$8),  $D$6)</f>
        <v>3</v>
      </c>
      <c r="P48" s="334">
        <f>SUMIFS(bron_opvolging[toeslag opvolging AV],bron_opvolging[Jaar Besluit Rel1 Vas Datum],"2023",bron_opvolging[Vaststelkategorie],Tabel_opvolging2023[[#This Row],[Vaststelkategorie]]) / $D$6</f>
        <v>2</v>
      </c>
      <c r="Q48" s="334">
        <f>MIN($D$7,Tabel_opvolging2023[[#This Row],[forfait VdMII prc]])</f>
        <v>10</v>
      </c>
      <c r="R48" s="334">
        <f>IFERROR(ROUND(Tabel_opvolging2023[[#This Row],[forfait VdMII adv]]*$D$5,$D$8),  $D$6)</f>
        <v>3</v>
      </c>
      <c r="S48" s="334">
        <f>(Tabel_opvolging2023[[#This Row],[aantal opvolging procedure 2023]] * (Tabel_opvolging2023[[#This Row],[toeslag opvolging VdM II prc]]-$D$6)) + (Tabel_opvolging2023[[#This Row],[aantal opvolging advies 2023*]] * (Tabel_opvolging2023[[#This Row],[toeslag opvolging VdM II adv]]-$D$6))</f>
        <v>134</v>
      </c>
      <c r="T48" s="335">
        <f>Tabel_opvolging2023[[#This Row],[totaal extra punten t.o.v. huidige toeslag]] * tarief_huidig</f>
        <v>20518.816999999999</v>
      </c>
    </row>
    <row r="49" spans="2:20" x14ac:dyDescent="0.3">
      <c r="B49" s="328" t="s">
        <v>69</v>
      </c>
      <c r="C4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49" s="334">
        <f>IFERROR(INDEX(Tabel_forfaits[forfait VdM II voor berekening],MATCH(Tabel_opvolging2022[[#This Row],[Vaststelkategorie]],Tabel_forfaits[Zaakcode],0)), "n.v.t.")</f>
        <v>12</v>
      </c>
      <c r="E49" s="334">
        <f t="shared" si="1"/>
        <v>3</v>
      </c>
      <c r="F49" s="337">
        <f>SUMIFS(bron_opvolging[toeslag opvolging AV],bron_opvolging[Jaar Besluit Rel1 Vas Datum],"2022",bron_opvolging[Vaststelkategorie],Tabel_opvolging2022[[#This Row],[Vaststelkategorie]]) / $D$6</f>
        <v>0</v>
      </c>
      <c r="G49" s="334">
        <f>MIN($D$7,Tabel_opvolging2022[[#This Row],[forfait VdMII prc]])</f>
        <v>10</v>
      </c>
      <c r="H49" s="334">
        <f>IFERROR(ROUND(Tabel_opvolging2022[[#This Row],[forfait VdMII adv]]*$D$5,$D$8),  $D$6)</f>
        <v>3</v>
      </c>
      <c r="I49" s="337">
        <f>(Tabel_opvolging2022[[#This Row],[aantal opvolging pocedure 2022]] * (Tabel_opvolging2022[[#This Row],[toeslag opvolging VdM II prc]]-$D$6)) + (Tabel_opvolging2022[[#This Row],[aantal opvolging advies 2022*]] * (Tabel_opvolging2022[[#This Row],[toeslag opvolging VdM II adv]]-$D$6))</f>
        <v>1</v>
      </c>
      <c r="J49" s="335">
        <f>Tabel_opvolging2022[[#This Row],[totaal extra punten t.o.v. huidige toeslag]] * tarief_huidig</f>
        <v>153.12549999999999</v>
      </c>
      <c r="L49" s="328" t="s">
        <v>69</v>
      </c>
      <c r="M4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49" s="334">
        <f>IFERROR(INDEX(Tabel_forfaits[forfait VdM II voor berekening],MATCH(Tabel_opvolging2023[[#This Row],[Vaststelkategorie]],Tabel_forfaits[Zaakcode],0)), "n.v.t.")</f>
        <v>12</v>
      </c>
      <c r="O49" s="334">
        <f>IFERROR(ROUND(Tabel_opvolging2023[[#This Row],[forfait VdMII prc]]*$D$5,$D$8),  $D$6)</f>
        <v>3</v>
      </c>
      <c r="P49" s="334">
        <f>SUMIFS(bron_opvolging[toeslag opvolging AV],bron_opvolging[Jaar Besluit Rel1 Vas Datum],"2023",bron_opvolging[Vaststelkategorie],Tabel_opvolging2023[[#This Row],[Vaststelkategorie]]) / $D$6</f>
        <v>0</v>
      </c>
      <c r="Q49" s="334">
        <f>MIN($D$7,Tabel_opvolging2023[[#This Row],[forfait VdMII prc]])</f>
        <v>10</v>
      </c>
      <c r="R49" s="334">
        <f>IFERROR(ROUND(Tabel_opvolging2023[[#This Row],[forfait VdMII adv]]*$D$5,$D$8),  $D$6)</f>
        <v>3</v>
      </c>
      <c r="S49" s="334">
        <f>(Tabel_opvolging2023[[#This Row],[aantal opvolging procedure 2023]] * (Tabel_opvolging2023[[#This Row],[toeslag opvolging VdM II prc]]-$D$6)) + (Tabel_opvolging2023[[#This Row],[aantal opvolging advies 2023*]] * (Tabel_opvolging2023[[#This Row],[toeslag opvolging VdM II adv]]-$D$6))</f>
        <v>0</v>
      </c>
      <c r="T49" s="335">
        <f>Tabel_opvolging2023[[#This Row],[totaal extra punten t.o.v. huidige toeslag]] * tarief_huidig</f>
        <v>0</v>
      </c>
    </row>
    <row r="50" spans="2:20" x14ac:dyDescent="0.3">
      <c r="B50" s="328" t="s">
        <v>70</v>
      </c>
      <c r="C5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101</v>
      </c>
      <c r="D50" s="334">
        <f>IFERROR(INDEX(Tabel_forfaits[forfait VdM II voor berekening],MATCH(Tabel_opvolging2022[[#This Row],[Vaststelkategorie]],Tabel_forfaits[Zaakcode],0)), "n.v.t.")</f>
        <v>17</v>
      </c>
      <c r="E50" s="334">
        <f t="shared" si="1"/>
        <v>4</v>
      </c>
      <c r="F50" s="337">
        <f>SUMIFS(bron_opvolging[toeslag opvolging AV],bron_opvolging[Jaar Besluit Rel1 Vas Datum],"2022",bron_opvolging[Vaststelkategorie],Tabel_opvolging2022[[#This Row],[Vaststelkategorie]]) / $D$6</f>
        <v>12</v>
      </c>
      <c r="G50" s="334">
        <f>MIN($D$7,Tabel_opvolging2022[[#This Row],[forfait VdMII prc]])</f>
        <v>10</v>
      </c>
      <c r="H50" s="334">
        <f>IFERROR(ROUND(Tabel_opvolging2022[[#This Row],[forfait VdMII adv]]*$D$5,$D$8),  $D$6)</f>
        <v>3</v>
      </c>
      <c r="I50" s="337">
        <f>(Tabel_opvolging2022[[#This Row],[aantal opvolging pocedure 2022]] * (Tabel_opvolging2022[[#This Row],[toeslag opvolging VdM II prc]]-$D$6)) + (Tabel_opvolging2022[[#This Row],[aantal opvolging advies 2022*]] * (Tabel_opvolging2022[[#This Row],[toeslag opvolging VdM II adv]]-$D$6))</f>
        <v>214</v>
      </c>
      <c r="J50" s="335">
        <f>Tabel_opvolging2022[[#This Row],[totaal extra punten t.o.v. huidige toeslag]] * tarief_huidig</f>
        <v>32768.856999999996</v>
      </c>
      <c r="L50" s="328" t="s">
        <v>70</v>
      </c>
      <c r="M5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96</v>
      </c>
      <c r="N50" s="334">
        <f>IFERROR(INDEX(Tabel_forfaits[forfait VdM II voor berekening],MATCH(Tabel_opvolging2023[[#This Row],[Vaststelkategorie]],Tabel_forfaits[Zaakcode],0)), "n.v.t.")</f>
        <v>17</v>
      </c>
      <c r="O50" s="334">
        <f>IFERROR(ROUND(Tabel_opvolging2023[[#This Row],[forfait VdMII prc]]*$D$5,$D$8),  $D$6)</f>
        <v>4</v>
      </c>
      <c r="P50" s="334">
        <f>SUMIFS(bron_opvolging[toeslag opvolging AV],bron_opvolging[Jaar Besluit Rel1 Vas Datum],"2023",bron_opvolging[Vaststelkategorie],Tabel_opvolging2023[[#This Row],[Vaststelkategorie]]) / $D$6</f>
        <v>17</v>
      </c>
      <c r="Q50" s="334">
        <f>MIN($D$7,Tabel_opvolging2023[[#This Row],[forfait VdMII prc]])</f>
        <v>10</v>
      </c>
      <c r="R50" s="334">
        <f>IFERROR(ROUND(Tabel_opvolging2023[[#This Row],[forfait VdMII adv]]*$D$5,$D$8),  $D$6)</f>
        <v>3</v>
      </c>
      <c r="S50" s="334">
        <f>(Tabel_opvolging2023[[#This Row],[aantal opvolging procedure 2023]] * (Tabel_opvolging2023[[#This Row],[toeslag opvolging VdM II prc]]-$D$6)) + (Tabel_opvolging2023[[#This Row],[aantal opvolging advies 2023*]] * (Tabel_opvolging2023[[#This Row],[toeslag opvolging VdM II adv]]-$D$6))</f>
        <v>209</v>
      </c>
      <c r="T50" s="335">
        <f>Tabel_opvolging2023[[#This Row],[totaal extra punten t.o.v. huidige toeslag]] * tarief_huidig</f>
        <v>32003.229499999998</v>
      </c>
    </row>
    <row r="51" spans="2:20" x14ac:dyDescent="0.3">
      <c r="B51" s="328" t="s">
        <v>72</v>
      </c>
      <c r="C5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24</v>
      </c>
      <c r="D51" s="334">
        <f>IFERROR(INDEX(Tabel_forfaits[forfait VdM II voor berekening],MATCH(Tabel_opvolging2022[[#This Row],[Vaststelkategorie]],Tabel_forfaits[Zaakcode],0)), "n.v.t.")</f>
        <v>12</v>
      </c>
      <c r="E51" s="334">
        <f t="shared" si="1"/>
        <v>3</v>
      </c>
      <c r="F51" s="337">
        <f>SUMIFS(bron_opvolging[toeslag opvolging AV],bron_opvolging[Jaar Besluit Rel1 Vas Datum],"2022",bron_opvolging[Vaststelkategorie],Tabel_opvolging2022[[#This Row],[Vaststelkategorie]]) / $D$6</f>
        <v>4</v>
      </c>
      <c r="G51" s="334">
        <f>MIN($D$7,Tabel_opvolging2022[[#This Row],[forfait VdMII prc]])</f>
        <v>10</v>
      </c>
      <c r="H51" s="334">
        <f>IFERROR(ROUND(Tabel_opvolging2022[[#This Row],[forfait VdMII adv]]*$D$5,$D$8),  $D$6)</f>
        <v>3</v>
      </c>
      <c r="I51" s="337">
        <f>(Tabel_opvolging2022[[#This Row],[aantal opvolging pocedure 2022]] * (Tabel_opvolging2022[[#This Row],[toeslag opvolging VdM II prc]]-$D$6)) + (Tabel_opvolging2022[[#This Row],[aantal opvolging advies 2022*]] * (Tabel_opvolging2022[[#This Row],[toeslag opvolging VdM II adv]]-$D$6))</f>
        <v>28</v>
      </c>
      <c r="J51" s="335">
        <f>Tabel_opvolging2022[[#This Row],[totaal extra punten t.o.v. huidige toeslag]] * tarief_huidig</f>
        <v>4287.5139999999992</v>
      </c>
      <c r="L51" s="328" t="s">
        <v>72</v>
      </c>
      <c r="M5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117</v>
      </c>
      <c r="N51" s="334">
        <f>IFERROR(INDEX(Tabel_forfaits[forfait VdM II voor berekening],MATCH(Tabel_opvolging2023[[#This Row],[Vaststelkategorie]],Tabel_forfaits[Zaakcode],0)), "n.v.t.")</f>
        <v>12</v>
      </c>
      <c r="O51" s="334">
        <f>IFERROR(ROUND(Tabel_opvolging2023[[#This Row],[forfait VdMII prc]]*$D$5,$D$8),  $D$6)</f>
        <v>3</v>
      </c>
      <c r="P51" s="334">
        <f>SUMIFS(bron_opvolging[toeslag opvolging AV],bron_opvolging[Jaar Besluit Rel1 Vas Datum],"2023",bron_opvolging[Vaststelkategorie],Tabel_opvolging2023[[#This Row],[Vaststelkategorie]]) / $D$6</f>
        <v>3</v>
      </c>
      <c r="Q51" s="334">
        <f>MIN($D$7,Tabel_opvolging2023[[#This Row],[forfait VdMII prc]])</f>
        <v>10</v>
      </c>
      <c r="R51" s="334">
        <f>IFERROR(ROUND(Tabel_opvolging2023[[#This Row],[forfait VdMII adv]]*$D$5,$D$8),  $D$6)</f>
        <v>3</v>
      </c>
      <c r="S51" s="334">
        <f>(Tabel_opvolging2023[[#This Row],[aantal opvolging procedure 2023]] * (Tabel_opvolging2023[[#This Row],[toeslag opvolging VdM II prc]]-$D$6)) + (Tabel_opvolging2023[[#This Row],[aantal opvolging advies 2023*]] * (Tabel_opvolging2023[[#This Row],[toeslag opvolging VdM II adv]]-$D$6))</f>
        <v>120</v>
      </c>
      <c r="T51" s="335">
        <f>Tabel_opvolging2023[[#This Row],[totaal extra punten t.o.v. huidige toeslag]] * tarief_huidig</f>
        <v>18375.059999999998</v>
      </c>
    </row>
    <row r="52" spans="2:20" x14ac:dyDescent="0.3">
      <c r="B52" s="328" t="s">
        <v>73</v>
      </c>
      <c r="C5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11</v>
      </c>
      <c r="D52" s="334">
        <f>IFERROR(INDEX(Tabel_forfaits[forfait VdM II voor berekening],MATCH(Tabel_opvolging2022[[#This Row],[Vaststelkategorie]],Tabel_forfaits[Zaakcode],0)), "n.v.t.")</f>
        <v>12</v>
      </c>
      <c r="E52" s="334">
        <f t="shared" si="1"/>
        <v>3</v>
      </c>
      <c r="F52" s="337">
        <f>SUMIFS(bron_opvolging[toeslag opvolging AV],bron_opvolging[Jaar Besluit Rel1 Vas Datum],"2022",bron_opvolging[Vaststelkategorie],Tabel_opvolging2022[[#This Row],[Vaststelkategorie]]) / $D$6</f>
        <v>1</v>
      </c>
      <c r="G52" s="334">
        <f>MIN($D$7,Tabel_opvolging2022[[#This Row],[forfait VdMII prc]])</f>
        <v>10</v>
      </c>
      <c r="H52" s="334">
        <f>IFERROR(ROUND(Tabel_opvolging2022[[#This Row],[forfait VdMII adv]]*$D$5,$D$8),  $D$6)</f>
        <v>3</v>
      </c>
      <c r="I52" s="337">
        <f>(Tabel_opvolging2022[[#This Row],[aantal opvolging pocedure 2022]] * (Tabel_opvolging2022[[#This Row],[toeslag opvolging VdM II prc]]-$D$6)) + (Tabel_opvolging2022[[#This Row],[aantal opvolging advies 2022*]] * (Tabel_opvolging2022[[#This Row],[toeslag opvolging VdM II adv]]-$D$6))</f>
        <v>12</v>
      </c>
      <c r="J52" s="335">
        <f>Tabel_opvolging2022[[#This Row],[totaal extra punten t.o.v. huidige toeslag]] * tarief_huidig</f>
        <v>1837.5059999999999</v>
      </c>
      <c r="L52" s="328" t="s">
        <v>73</v>
      </c>
      <c r="M5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52" s="334">
        <f>IFERROR(INDEX(Tabel_forfaits[forfait VdM II voor berekening],MATCH(Tabel_opvolging2023[[#This Row],[Vaststelkategorie]],Tabel_forfaits[Zaakcode],0)), "n.v.t.")</f>
        <v>12</v>
      </c>
      <c r="O52" s="334">
        <f>IFERROR(ROUND(Tabel_opvolging2023[[#This Row],[forfait VdMII prc]]*$D$5,$D$8),  $D$6)</f>
        <v>3</v>
      </c>
      <c r="P52" s="334">
        <f>SUMIFS(bron_opvolging[toeslag opvolging AV],bron_opvolging[Jaar Besluit Rel1 Vas Datum],"2023",bron_opvolging[Vaststelkategorie],Tabel_opvolging2023[[#This Row],[Vaststelkategorie]]) / $D$6</f>
        <v>1</v>
      </c>
      <c r="Q52" s="334">
        <f>MIN($D$7,Tabel_opvolging2023[[#This Row],[forfait VdMII prc]])</f>
        <v>10</v>
      </c>
      <c r="R52" s="334">
        <f>IFERROR(ROUND(Tabel_opvolging2023[[#This Row],[forfait VdMII adv]]*$D$5,$D$8),  $D$6)</f>
        <v>3</v>
      </c>
      <c r="S52" s="334">
        <f>(Tabel_opvolging2023[[#This Row],[aantal opvolging procedure 2023]] * (Tabel_opvolging2023[[#This Row],[toeslag opvolging VdM II prc]]-$D$6)) + (Tabel_opvolging2023[[#This Row],[aantal opvolging advies 2023*]] * (Tabel_opvolging2023[[#This Row],[toeslag opvolging VdM II adv]]-$D$6))</f>
        <v>5</v>
      </c>
      <c r="T52" s="335">
        <f>Tabel_opvolging2023[[#This Row],[totaal extra punten t.o.v. huidige toeslag]] * tarief_huidig</f>
        <v>765.62749999999994</v>
      </c>
    </row>
    <row r="53" spans="2:20" x14ac:dyDescent="0.3">
      <c r="B53" s="328" t="s">
        <v>74</v>
      </c>
      <c r="C5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53" s="334">
        <f>IFERROR(INDEX(Tabel_forfaits[forfait VdM II voor berekening],MATCH(Tabel_opvolging2022[[#This Row],[Vaststelkategorie]],Tabel_forfaits[Zaakcode],0)), "n.v.t.")</f>
        <v>12</v>
      </c>
      <c r="E53" s="334">
        <f t="shared" si="1"/>
        <v>3</v>
      </c>
      <c r="F53" s="337">
        <f>SUMIFS(bron_opvolging[toeslag opvolging AV],bron_opvolging[Jaar Besluit Rel1 Vas Datum],"2022",bron_opvolging[Vaststelkategorie],Tabel_opvolging2022[[#This Row],[Vaststelkategorie]]) / $D$6</f>
        <v>0</v>
      </c>
      <c r="G53" s="334">
        <f>MIN($D$7,Tabel_opvolging2022[[#This Row],[forfait VdMII prc]])</f>
        <v>10</v>
      </c>
      <c r="H53" s="334">
        <f>IFERROR(ROUND(Tabel_opvolging2022[[#This Row],[forfait VdMII adv]]*$D$5,$D$8),  $D$6)</f>
        <v>3</v>
      </c>
      <c r="I53" s="337">
        <f>(Tabel_opvolging2022[[#This Row],[aantal opvolging pocedure 2022]] * (Tabel_opvolging2022[[#This Row],[toeslag opvolging VdM II prc]]-$D$6)) + (Tabel_opvolging2022[[#This Row],[aantal opvolging advies 2022*]] * (Tabel_opvolging2022[[#This Row],[toeslag opvolging VdM II adv]]-$D$6))</f>
        <v>1</v>
      </c>
      <c r="J53" s="335">
        <f>Tabel_opvolging2022[[#This Row],[totaal extra punten t.o.v. huidige toeslag]] * tarief_huidig</f>
        <v>153.12549999999999</v>
      </c>
      <c r="L53" s="328" t="s">
        <v>74</v>
      </c>
      <c r="M5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53" s="334">
        <f>IFERROR(INDEX(Tabel_forfaits[forfait VdM II voor berekening],MATCH(Tabel_opvolging2023[[#This Row],[Vaststelkategorie]],Tabel_forfaits[Zaakcode],0)), "n.v.t.")</f>
        <v>12</v>
      </c>
      <c r="O53" s="334">
        <f>IFERROR(ROUND(Tabel_opvolging2023[[#This Row],[forfait VdMII prc]]*$D$5,$D$8),  $D$6)</f>
        <v>3</v>
      </c>
      <c r="P53" s="334">
        <f>SUMIFS(bron_opvolging[toeslag opvolging AV],bron_opvolging[Jaar Besluit Rel1 Vas Datum],"2023",bron_opvolging[Vaststelkategorie],Tabel_opvolging2023[[#This Row],[Vaststelkategorie]]) / $D$6</f>
        <v>0</v>
      </c>
      <c r="Q53" s="334">
        <f>MIN($D$7,Tabel_opvolging2023[[#This Row],[forfait VdMII prc]])</f>
        <v>10</v>
      </c>
      <c r="R53" s="334">
        <f>IFERROR(ROUND(Tabel_opvolging2023[[#This Row],[forfait VdMII adv]]*$D$5,$D$8),  $D$6)</f>
        <v>3</v>
      </c>
      <c r="S53" s="334">
        <f>(Tabel_opvolging2023[[#This Row],[aantal opvolging procedure 2023]] * (Tabel_opvolging2023[[#This Row],[toeslag opvolging VdM II prc]]-$D$6)) + (Tabel_opvolging2023[[#This Row],[aantal opvolging advies 2023*]] * (Tabel_opvolging2023[[#This Row],[toeslag opvolging VdM II adv]]-$D$6))</f>
        <v>0</v>
      </c>
      <c r="T53" s="335">
        <f>Tabel_opvolging2023[[#This Row],[totaal extra punten t.o.v. huidige toeslag]] * tarief_huidig</f>
        <v>0</v>
      </c>
    </row>
    <row r="54" spans="2:20" x14ac:dyDescent="0.3">
      <c r="B54" s="328" t="s">
        <v>75</v>
      </c>
      <c r="C5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106</v>
      </c>
      <c r="D54" s="334">
        <f>IFERROR(INDEX(Tabel_forfaits[forfait VdM II voor berekening],MATCH(Tabel_opvolging2022[[#This Row],[Vaststelkategorie]],Tabel_forfaits[Zaakcode],0)), "n.v.t.")</f>
        <v>14</v>
      </c>
      <c r="E54" s="334">
        <f t="shared" si="1"/>
        <v>4</v>
      </c>
      <c r="F54" s="337">
        <f>SUMIFS(bron_opvolging[toeslag opvolging AV],bron_opvolging[Jaar Besluit Rel1 Vas Datum],"2022",bron_opvolging[Vaststelkategorie],Tabel_opvolging2022[[#This Row],[Vaststelkategorie]]) / $D$6</f>
        <v>21</v>
      </c>
      <c r="G54" s="334">
        <f>MIN($D$7,Tabel_opvolging2022[[#This Row],[forfait VdMII prc]])</f>
        <v>10</v>
      </c>
      <c r="H54" s="334">
        <f>IFERROR(ROUND(Tabel_opvolging2022[[#This Row],[forfait VdMII adv]]*$D$5,$D$8),  $D$6)</f>
        <v>3</v>
      </c>
      <c r="I54" s="337">
        <f>(Tabel_opvolging2022[[#This Row],[aantal opvolging pocedure 2022]] * (Tabel_opvolging2022[[#This Row],[toeslag opvolging VdM II prc]]-$D$6)) + (Tabel_opvolging2022[[#This Row],[aantal opvolging advies 2022*]] * (Tabel_opvolging2022[[#This Row],[toeslag opvolging VdM II adv]]-$D$6))</f>
        <v>233</v>
      </c>
      <c r="J54" s="335">
        <f>Tabel_opvolging2022[[#This Row],[totaal extra punten t.o.v. huidige toeslag]] * tarief_huidig</f>
        <v>35678.241499999996</v>
      </c>
      <c r="L54" s="328" t="s">
        <v>75</v>
      </c>
      <c r="M5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96</v>
      </c>
      <c r="N54" s="334">
        <f>IFERROR(INDEX(Tabel_forfaits[forfait VdM II voor berekening],MATCH(Tabel_opvolging2023[[#This Row],[Vaststelkategorie]],Tabel_forfaits[Zaakcode],0)), "n.v.t.")</f>
        <v>14</v>
      </c>
      <c r="O54" s="334">
        <f>IFERROR(ROUND(Tabel_opvolging2023[[#This Row],[forfait VdMII prc]]*$D$5,$D$8),  $D$6)</f>
        <v>4</v>
      </c>
      <c r="P54" s="334">
        <f>SUMIFS(bron_opvolging[toeslag opvolging AV],bron_opvolging[Jaar Besluit Rel1 Vas Datum],"2023",bron_opvolging[Vaststelkategorie],Tabel_opvolging2023[[#This Row],[Vaststelkategorie]]) / $D$6</f>
        <v>18</v>
      </c>
      <c r="Q54" s="334">
        <f>MIN($D$7,Tabel_opvolging2023[[#This Row],[forfait VdMII prc]])</f>
        <v>10</v>
      </c>
      <c r="R54" s="334">
        <f>IFERROR(ROUND(Tabel_opvolging2023[[#This Row],[forfait VdMII adv]]*$D$5,$D$8),  $D$6)</f>
        <v>3</v>
      </c>
      <c r="S54" s="334">
        <f>(Tabel_opvolging2023[[#This Row],[aantal opvolging procedure 2023]] * (Tabel_opvolging2023[[#This Row],[toeslag opvolging VdM II prc]]-$D$6)) + (Tabel_opvolging2023[[#This Row],[aantal opvolging advies 2023*]] * (Tabel_opvolging2023[[#This Row],[toeslag opvolging VdM II adv]]-$D$6))</f>
        <v>210</v>
      </c>
      <c r="T54" s="335">
        <f>Tabel_opvolging2023[[#This Row],[totaal extra punten t.o.v. huidige toeslag]] * tarief_huidig</f>
        <v>32156.354999999996</v>
      </c>
    </row>
    <row r="55" spans="2:20" x14ac:dyDescent="0.3">
      <c r="B55" s="328" t="s">
        <v>76</v>
      </c>
      <c r="C5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85</v>
      </c>
      <c r="D55" s="334">
        <f>IFERROR(INDEX(Tabel_forfaits[forfait VdM II voor berekening],MATCH(Tabel_opvolging2022[[#This Row],[Vaststelkategorie]],Tabel_forfaits[Zaakcode],0)), "n.v.t.")</f>
        <v>13</v>
      </c>
      <c r="E55" s="334">
        <f t="shared" si="1"/>
        <v>3</v>
      </c>
      <c r="F55" s="337">
        <f>SUMIFS(bron_opvolging[toeslag opvolging AV],bron_opvolging[Jaar Besluit Rel1 Vas Datum],"2022",bron_opvolging[Vaststelkategorie],Tabel_opvolging2022[[#This Row],[Vaststelkategorie]]) / $D$6</f>
        <v>6</v>
      </c>
      <c r="G55" s="334">
        <f>MIN($D$7,Tabel_opvolging2022[[#This Row],[forfait VdMII prc]])</f>
        <v>10</v>
      </c>
      <c r="H55" s="334">
        <f>IFERROR(ROUND(Tabel_opvolging2022[[#This Row],[forfait VdMII adv]]*$D$5,$D$8),  $D$6)</f>
        <v>3</v>
      </c>
      <c r="I55" s="337">
        <f>(Tabel_opvolging2022[[#This Row],[aantal opvolging pocedure 2022]] * (Tabel_opvolging2022[[#This Row],[toeslag opvolging VdM II prc]]-$D$6)) + (Tabel_opvolging2022[[#This Row],[aantal opvolging advies 2022*]] * (Tabel_opvolging2022[[#This Row],[toeslag opvolging VdM II adv]]-$D$6))</f>
        <v>91</v>
      </c>
      <c r="J55" s="335">
        <f>Tabel_opvolging2022[[#This Row],[totaal extra punten t.o.v. huidige toeslag]] * tarief_huidig</f>
        <v>13934.420499999998</v>
      </c>
      <c r="L55" s="328" t="s">
        <v>76</v>
      </c>
      <c r="M5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85</v>
      </c>
      <c r="N55" s="334">
        <f>IFERROR(INDEX(Tabel_forfaits[forfait VdM II voor berekening],MATCH(Tabel_opvolging2023[[#This Row],[Vaststelkategorie]],Tabel_forfaits[Zaakcode],0)), "n.v.t.")</f>
        <v>13</v>
      </c>
      <c r="O55" s="334">
        <f>IFERROR(ROUND(Tabel_opvolging2023[[#This Row],[forfait VdMII prc]]*$D$5,$D$8),  $D$6)</f>
        <v>3</v>
      </c>
      <c r="P55" s="334">
        <f>SUMIFS(bron_opvolging[toeslag opvolging AV],bron_opvolging[Jaar Besluit Rel1 Vas Datum],"2023",bron_opvolging[Vaststelkategorie],Tabel_opvolging2023[[#This Row],[Vaststelkategorie]]) / $D$6</f>
        <v>13</v>
      </c>
      <c r="Q55" s="334">
        <f>MIN($D$7,Tabel_opvolging2023[[#This Row],[forfait VdMII prc]])</f>
        <v>10</v>
      </c>
      <c r="R55" s="334">
        <f>IFERROR(ROUND(Tabel_opvolging2023[[#This Row],[forfait VdMII adv]]*$D$5,$D$8),  $D$6)</f>
        <v>3</v>
      </c>
      <c r="S55" s="334">
        <f>(Tabel_opvolging2023[[#This Row],[aantal opvolging procedure 2023]] * (Tabel_opvolging2023[[#This Row],[toeslag opvolging VdM II prc]]-$D$6)) + (Tabel_opvolging2023[[#This Row],[aantal opvolging advies 2023*]] * (Tabel_opvolging2023[[#This Row],[toeslag opvolging VdM II adv]]-$D$6))</f>
        <v>98</v>
      </c>
      <c r="T55" s="335">
        <f>Tabel_opvolging2023[[#This Row],[totaal extra punten t.o.v. huidige toeslag]] * tarief_huidig</f>
        <v>15006.298999999999</v>
      </c>
    </row>
    <row r="56" spans="2:20" x14ac:dyDescent="0.3">
      <c r="B56" s="328" t="s">
        <v>77</v>
      </c>
      <c r="C5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184</v>
      </c>
      <c r="D56" s="334">
        <f>IFERROR(INDEX(Tabel_forfaits[forfait VdM II voor berekening],MATCH(Tabel_opvolging2022[[#This Row],[Vaststelkategorie]],Tabel_forfaits[Zaakcode],0)), "n.v.t.")</f>
        <v>14</v>
      </c>
      <c r="E56" s="334">
        <f t="shared" si="1"/>
        <v>4</v>
      </c>
      <c r="F56" s="337">
        <f>SUMIFS(bron_opvolging[toeslag opvolging AV],bron_opvolging[Jaar Besluit Rel1 Vas Datum],"2022",bron_opvolging[Vaststelkategorie],Tabel_opvolging2022[[#This Row],[Vaststelkategorie]]) / $D$6</f>
        <v>25</v>
      </c>
      <c r="G56" s="334">
        <f>MIN($D$7,Tabel_opvolging2022[[#This Row],[forfait VdMII prc]])</f>
        <v>10</v>
      </c>
      <c r="H56" s="334">
        <f>IFERROR(ROUND(Tabel_opvolging2022[[#This Row],[forfait VdMII adv]]*$D$5,$D$8),  $D$6)</f>
        <v>3</v>
      </c>
      <c r="I56" s="337">
        <f>(Tabel_opvolging2022[[#This Row],[aantal opvolging pocedure 2022]] * (Tabel_opvolging2022[[#This Row],[toeslag opvolging VdM II prc]]-$D$6)) + (Tabel_opvolging2022[[#This Row],[aantal opvolging advies 2022*]] * (Tabel_opvolging2022[[#This Row],[toeslag opvolging VdM II adv]]-$D$6))</f>
        <v>393</v>
      </c>
      <c r="J56" s="335">
        <f>Tabel_opvolging2022[[#This Row],[totaal extra punten t.o.v. huidige toeslag]] * tarief_huidig</f>
        <v>60178.321499999998</v>
      </c>
      <c r="L56" s="328" t="s">
        <v>77</v>
      </c>
      <c r="M5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167</v>
      </c>
      <c r="N56" s="334">
        <f>IFERROR(INDEX(Tabel_forfaits[forfait VdM II voor berekening],MATCH(Tabel_opvolging2023[[#This Row],[Vaststelkategorie]],Tabel_forfaits[Zaakcode],0)), "n.v.t.")</f>
        <v>14</v>
      </c>
      <c r="O56" s="334">
        <f>IFERROR(ROUND(Tabel_opvolging2023[[#This Row],[forfait VdMII prc]]*$D$5,$D$8),  $D$6)</f>
        <v>4</v>
      </c>
      <c r="P56" s="334">
        <f>SUMIFS(bron_opvolging[toeslag opvolging AV],bron_opvolging[Jaar Besluit Rel1 Vas Datum],"2023",bron_opvolging[Vaststelkategorie],Tabel_opvolging2023[[#This Row],[Vaststelkategorie]]) / $D$6</f>
        <v>17</v>
      </c>
      <c r="Q56" s="334">
        <f>MIN($D$7,Tabel_opvolging2023[[#This Row],[forfait VdMII prc]])</f>
        <v>10</v>
      </c>
      <c r="R56" s="334">
        <f>IFERROR(ROUND(Tabel_opvolging2023[[#This Row],[forfait VdMII adv]]*$D$5,$D$8),  $D$6)</f>
        <v>3</v>
      </c>
      <c r="S56" s="334">
        <f>(Tabel_opvolging2023[[#This Row],[aantal opvolging procedure 2023]] * (Tabel_opvolging2023[[#This Row],[toeslag opvolging VdM II prc]]-$D$6)) + (Tabel_opvolging2023[[#This Row],[aantal opvolging advies 2023*]] * (Tabel_opvolging2023[[#This Row],[toeslag opvolging VdM II adv]]-$D$6))</f>
        <v>351</v>
      </c>
      <c r="T56" s="335">
        <f>Tabel_opvolging2023[[#This Row],[totaal extra punten t.o.v. huidige toeslag]] * tarief_huidig</f>
        <v>53747.050499999998</v>
      </c>
    </row>
    <row r="57" spans="2:20" x14ac:dyDescent="0.3">
      <c r="B57" s="328" t="s">
        <v>78</v>
      </c>
      <c r="C5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42</v>
      </c>
      <c r="D57" s="334">
        <f>IFERROR(INDEX(Tabel_forfaits[forfait VdM II voor berekening],MATCH(Tabel_opvolging2022[[#This Row],[Vaststelkategorie]],Tabel_forfaits[Zaakcode],0)), "n.v.t.")</f>
        <v>6</v>
      </c>
      <c r="E57" s="334">
        <f t="shared" si="1"/>
        <v>2</v>
      </c>
      <c r="F57" s="337">
        <f>SUMIFS(bron_opvolging[toeslag opvolging AV],bron_opvolging[Jaar Besluit Rel1 Vas Datum],"2022",bron_opvolging[Vaststelkategorie],Tabel_opvolging2022[[#This Row],[Vaststelkategorie]]) / $D$6</f>
        <v>0</v>
      </c>
      <c r="G57" s="334">
        <f>MIN($D$7,Tabel_opvolging2022[[#This Row],[forfait VdMII prc]])</f>
        <v>6</v>
      </c>
      <c r="H57" s="334">
        <f>IFERROR(ROUND(Tabel_opvolging2022[[#This Row],[forfait VdMII adv]]*$D$5,$D$8),  $D$6)</f>
        <v>2</v>
      </c>
      <c r="I57" s="337">
        <f>(Tabel_opvolging2022[[#This Row],[aantal opvolging pocedure 2022]] * (Tabel_opvolging2022[[#This Row],[toeslag opvolging VdM II prc]]-$D$6)) + (Tabel_opvolging2022[[#This Row],[aantal opvolging advies 2022*]] * (Tabel_opvolging2022[[#This Row],[toeslag opvolging VdM II adv]]-$D$6))</f>
        <v>0</v>
      </c>
      <c r="J57" s="335">
        <f>Tabel_opvolging2022[[#This Row],[totaal extra punten t.o.v. huidige toeslag]] * tarief_huidig</f>
        <v>0</v>
      </c>
      <c r="L57" s="328" t="s">
        <v>78</v>
      </c>
      <c r="M5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58</v>
      </c>
      <c r="N57" s="334">
        <f>IFERROR(INDEX(Tabel_forfaits[forfait VdM II voor berekening],MATCH(Tabel_opvolging2023[[#This Row],[Vaststelkategorie]],Tabel_forfaits[Zaakcode],0)), "n.v.t.")</f>
        <v>6</v>
      </c>
      <c r="O57" s="334">
        <f>IFERROR(ROUND(Tabel_opvolging2023[[#This Row],[forfait VdMII prc]]*$D$5,$D$8),  $D$6)</f>
        <v>2</v>
      </c>
      <c r="P57" s="334">
        <f>SUMIFS(bron_opvolging[toeslag opvolging AV],bron_opvolging[Jaar Besluit Rel1 Vas Datum],"2023",bron_opvolging[Vaststelkategorie],Tabel_opvolging2023[[#This Row],[Vaststelkategorie]]) / $D$6</f>
        <v>1</v>
      </c>
      <c r="Q57" s="334">
        <f>MIN($D$7,Tabel_opvolging2023[[#This Row],[forfait VdMII prc]])</f>
        <v>6</v>
      </c>
      <c r="R57" s="334">
        <f>IFERROR(ROUND(Tabel_opvolging2023[[#This Row],[forfait VdMII adv]]*$D$5,$D$8),  $D$6)</f>
        <v>2</v>
      </c>
      <c r="S57" s="334">
        <f>(Tabel_opvolging2023[[#This Row],[aantal opvolging procedure 2023]] * (Tabel_opvolging2023[[#This Row],[toeslag opvolging VdM II prc]]-$D$6)) + (Tabel_opvolging2023[[#This Row],[aantal opvolging advies 2023*]] * (Tabel_opvolging2023[[#This Row],[toeslag opvolging VdM II adv]]-$D$6))</f>
        <v>0</v>
      </c>
      <c r="T57" s="335">
        <f>Tabel_opvolging2023[[#This Row],[totaal extra punten t.o.v. huidige toeslag]] * tarief_huidig</f>
        <v>0</v>
      </c>
    </row>
    <row r="58" spans="2:20" x14ac:dyDescent="0.3">
      <c r="B58" s="328" t="s">
        <v>79</v>
      </c>
      <c r="C5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98</v>
      </c>
      <c r="D58" s="334">
        <f>IFERROR(INDEX(Tabel_forfaits[forfait VdM II voor berekening],MATCH(Tabel_opvolging2022[[#This Row],[Vaststelkategorie]],Tabel_forfaits[Zaakcode],0)), "n.v.t.")</f>
        <v>8</v>
      </c>
      <c r="E58" s="334">
        <f t="shared" si="1"/>
        <v>2</v>
      </c>
      <c r="F58" s="337">
        <f>SUMIFS(bron_opvolging[toeslag opvolging AV],bron_opvolging[Jaar Besluit Rel1 Vas Datum],"2022",bron_opvolging[Vaststelkategorie],Tabel_opvolging2022[[#This Row],[Vaststelkategorie]]) / $D$6</f>
        <v>2</v>
      </c>
      <c r="G58" s="334">
        <f>MIN($D$7,Tabel_opvolging2022[[#This Row],[forfait VdMII prc]])</f>
        <v>8</v>
      </c>
      <c r="H58" s="334">
        <f>IFERROR(ROUND(Tabel_opvolging2022[[#This Row],[forfait VdMII adv]]*$D$5,$D$8),  $D$6)</f>
        <v>2</v>
      </c>
      <c r="I58" s="337">
        <f>(Tabel_opvolging2022[[#This Row],[aantal opvolging pocedure 2022]] * (Tabel_opvolging2022[[#This Row],[toeslag opvolging VdM II prc]]-$D$6)) + (Tabel_opvolging2022[[#This Row],[aantal opvolging advies 2022*]] * (Tabel_opvolging2022[[#This Row],[toeslag opvolging VdM II adv]]-$D$6))</f>
        <v>0</v>
      </c>
      <c r="J58" s="335">
        <f>Tabel_opvolging2022[[#This Row],[totaal extra punten t.o.v. huidige toeslag]] * tarief_huidig</f>
        <v>0</v>
      </c>
      <c r="L58" s="328" t="s">
        <v>79</v>
      </c>
      <c r="M5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85</v>
      </c>
      <c r="N58" s="334">
        <f>IFERROR(INDEX(Tabel_forfaits[forfait VdM II voor berekening],MATCH(Tabel_opvolging2023[[#This Row],[Vaststelkategorie]],Tabel_forfaits[Zaakcode],0)), "n.v.t.")</f>
        <v>8</v>
      </c>
      <c r="O58" s="334">
        <f>IFERROR(ROUND(Tabel_opvolging2023[[#This Row],[forfait VdMII prc]]*$D$5,$D$8),  $D$6)</f>
        <v>2</v>
      </c>
      <c r="P58" s="334">
        <f>SUMIFS(bron_opvolging[toeslag opvolging AV],bron_opvolging[Jaar Besluit Rel1 Vas Datum],"2023",bron_opvolging[Vaststelkategorie],Tabel_opvolging2023[[#This Row],[Vaststelkategorie]]) / $D$6</f>
        <v>1</v>
      </c>
      <c r="Q58" s="334">
        <f>MIN($D$7,Tabel_opvolging2023[[#This Row],[forfait VdMII prc]])</f>
        <v>8</v>
      </c>
      <c r="R58" s="334">
        <f>IFERROR(ROUND(Tabel_opvolging2023[[#This Row],[forfait VdMII adv]]*$D$5,$D$8),  $D$6)</f>
        <v>2</v>
      </c>
      <c r="S58" s="334">
        <f>(Tabel_opvolging2023[[#This Row],[aantal opvolging procedure 2023]] * (Tabel_opvolging2023[[#This Row],[toeslag opvolging VdM II prc]]-$D$6)) + (Tabel_opvolging2023[[#This Row],[aantal opvolging advies 2023*]] * (Tabel_opvolging2023[[#This Row],[toeslag opvolging VdM II adv]]-$D$6))</f>
        <v>0</v>
      </c>
      <c r="T58" s="335">
        <f>Tabel_opvolging2023[[#This Row],[totaal extra punten t.o.v. huidige toeslag]] * tarief_huidig</f>
        <v>0</v>
      </c>
    </row>
    <row r="59" spans="2:20" x14ac:dyDescent="0.3">
      <c r="B59" s="328" t="s">
        <v>80</v>
      </c>
      <c r="C5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13</v>
      </c>
      <c r="D59" s="334">
        <f>IFERROR(INDEX(Tabel_forfaits[forfait VdM II voor berekening],MATCH(Tabel_opvolging2022[[#This Row],[Vaststelkategorie]],Tabel_forfaits[Zaakcode],0)), "n.v.t.")</f>
        <v>22</v>
      </c>
      <c r="E59" s="334">
        <f t="shared" si="1"/>
        <v>6</v>
      </c>
      <c r="F59" s="337">
        <f>SUMIFS(bron_opvolging[toeslag opvolging AV],bron_opvolging[Jaar Besluit Rel1 Vas Datum],"2022",bron_opvolging[Vaststelkategorie],Tabel_opvolging2022[[#This Row],[Vaststelkategorie]]) / $D$6</f>
        <v>8</v>
      </c>
      <c r="G59" s="334">
        <f>MIN($D$7,Tabel_opvolging2022[[#This Row],[forfait VdMII prc]])</f>
        <v>10</v>
      </c>
      <c r="H59" s="334">
        <f>IFERROR(ROUND(Tabel_opvolging2022[[#This Row],[forfait VdMII adv]]*$D$5,$D$8),  $D$6)</f>
        <v>3</v>
      </c>
      <c r="I59" s="337">
        <f>(Tabel_opvolging2022[[#This Row],[aantal opvolging pocedure 2022]] * (Tabel_opvolging2022[[#This Row],[toeslag opvolging VdM II prc]]-$D$6)) + (Tabel_opvolging2022[[#This Row],[aantal opvolging advies 2022*]] * (Tabel_opvolging2022[[#This Row],[toeslag opvolging VdM II adv]]-$D$6))</f>
        <v>60</v>
      </c>
      <c r="J59" s="335">
        <f>Tabel_opvolging2022[[#This Row],[totaal extra punten t.o.v. huidige toeslag]] * tarief_huidig</f>
        <v>9187.5299999999988</v>
      </c>
      <c r="L59" s="328" t="s">
        <v>80</v>
      </c>
      <c r="M5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14</v>
      </c>
      <c r="N59" s="334">
        <f>IFERROR(INDEX(Tabel_forfaits[forfait VdM II voor berekening],MATCH(Tabel_opvolging2023[[#This Row],[Vaststelkategorie]],Tabel_forfaits[Zaakcode],0)), "n.v.t.")</f>
        <v>22</v>
      </c>
      <c r="O59" s="334">
        <f>IFERROR(ROUND(Tabel_opvolging2023[[#This Row],[forfait VdMII prc]]*$D$5,$D$8),  $D$6)</f>
        <v>6</v>
      </c>
      <c r="P59" s="334">
        <f>SUMIFS(bron_opvolging[toeslag opvolging AV],bron_opvolging[Jaar Besluit Rel1 Vas Datum],"2023",bron_opvolging[Vaststelkategorie],Tabel_opvolging2023[[#This Row],[Vaststelkategorie]]) / $D$6</f>
        <v>4</v>
      </c>
      <c r="Q59" s="334">
        <f>MIN($D$7,Tabel_opvolging2023[[#This Row],[forfait VdMII prc]])</f>
        <v>10</v>
      </c>
      <c r="R59" s="334">
        <f>IFERROR(ROUND(Tabel_opvolging2023[[#This Row],[forfait VdMII adv]]*$D$5,$D$8),  $D$6)</f>
        <v>3</v>
      </c>
      <c r="S59" s="334">
        <f>(Tabel_opvolging2023[[#This Row],[aantal opvolging procedure 2023]] * (Tabel_opvolging2023[[#This Row],[toeslag opvolging VdM II prc]]-$D$6)) + (Tabel_opvolging2023[[#This Row],[aantal opvolging advies 2023*]] * (Tabel_opvolging2023[[#This Row],[toeslag opvolging VdM II adv]]-$D$6))</f>
        <v>60</v>
      </c>
      <c r="T59" s="335">
        <f>Tabel_opvolging2023[[#This Row],[totaal extra punten t.o.v. huidige toeslag]] * tarief_huidig</f>
        <v>9187.5299999999988</v>
      </c>
    </row>
    <row r="60" spans="2:20" x14ac:dyDescent="0.3">
      <c r="B60" s="328" t="s">
        <v>81</v>
      </c>
      <c r="C6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60" s="334">
        <f>IFERROR(INDEX(Tabel_forfaits[forfait VdM II voor berekening],MATCH(Tabel_opvolging2022[[#This Row],[Vaststelkategorie]],Tabel_forfaits[Zaakcode],0)), "n.v.t.")</f>
        <v>11</v>
      </c>
      <c r="E60" s="334">
        <f t="shared" si="1"/>
        <v>3</v>
      </c>
      <c r="F60" s="337">
        <f>SUMIFS(bron_opvolging[toeslag opvolging AV],bron_opvolging[Jaar Besluit Rel1 Vas Datum],"2022",bron_opvolging[Vaststelkategorie],Tabel_opvolging2022[[#This Row],[Vaststelkategorie]]) / $D$6</f>
        <v>0</v>
      </c>
      <c r="G60" s="334">
        <f>MIN($D$7,Tabel_opvolging2022[[#This Row],[forfait VdMII prc]])</f>
        <v>10</v>
      </c>
      <c r="H60" s="334">
        <f>IFERROR(ROUND(Tabel_opvolging2022[[#This Row],[forfait VdMII adv]]*$D$5,$D$8),  $D$6)</f>
        <v>3</v>
      </c>
      <c r="I60" s="337">
        <f>(Tabel_opvolging2022[[#This Row],[aantal opvolging pocedure 2022]] * (Tabel_opvolging2022[[#This Row],[toeslag opvolging VdM II prc]]-$D$6)) + (Tabel_opvolging2022[[#This Row],[aantal opvolging advies 2022*]] * (Tabel_opvolging2022[[#This Row],[toeslag opvolging VdM II adv]]-$D$6))</f>
        <v>1</v>
      </c>
      <c r="J60" s="335">
        <f>Tabel_opvolging2022[[#This Row],[totaal extra punten t.o.v. huidige toeslag]] * tarief_huidig</f>
        <v>153.12549999999999</v>
      </c>
      <c r="L60" s="328" t="s">
        <v>81</v>
      </c>
      <c r="M6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60" s="334">
        <f>IFERROR(INDEX(Tabel_forfaits[forfait VdM II voor berekening],MATCH(Tabel_opvolging2023[[#This Row],[Vaststelkategorie]],Tabel_forfaits[Zaakcode],0)), "n.v.t.")</f>
        <v>11</v>
      </c>
      <c r="O60" s="334">
        <f>IFERROR(ROUND(Tabel_opvolging2023[[#This Row],[forfait VdMII prc]]*$D$5,$D$8),  $D$6)</f>
        <v>3</v>
      </c>
      <c r="P60" s="334">
        <f>SUMIFS(bron_opvolging[toeslag opvolging AV],bron_opvolging[Jaar Besluit Rel1 Vas Datum],"2023",bron_opvolging[Vaststelkategorie],Tabel_opvolging2023[[#This Row],[Vaststelkategorie]]) / $D$6</f>
        <v>0</v>
      </c>
      <c r="Q60" s="334">
        <f>MIN($D$7,Tabel_opvolging2023[[#This Row],[forfait VdMII prc]])</f>
        <v>10</v>
      </c>
      <c r="R60" s="334">
        <f>IFERROR(ROUND(Tabel_opvolging2023[[#This Row],[forfait VdMII adv]]*$D$5,$D$8),  $D$6)</f>
        <v>3</v>
      </c>
      <c r="S60" s="334">
        <f>(Tabel_opvolging2023[[#This Row],[aantal opvolging procedure 2023]] * (Tabel_opvolging2023[[#This Row],[toeslag opvolging VdM II prc]]-$D$6)) + (Tabel_opvolging2023[[#This Row],[aantal opvolging advies 2023*]] * (Tabel_opvolging2023[[#This Row],[toeslag opvolging VdM II adv]]-$D$6))</f>
        <v>1</v>
      </c>
      <c r="T60" s="335">
        <f>Tabel_opvolging2023[[#This Row],[totaal extra punten t.o.v. huidige toeslag]] * tarief_huidig</f>
        <v>153.12549999999999</v>
      </c>
    </row>
    <row r="61" spans="2:20" x14ac:dyDescent="0.3">
      <c r="B61" s="328" t="s">
        <v>82</v>
      </c>
      <c r="C6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17</v>
      </c>
      <c r="D61" s="334">
        <f>IFERROR(INDEX(Tabel_forfaits[forfait VdM II voor berekening],MATCH(Tabel_opvolging2022[[#This Row],[Vaststelkategorie]],Tabel_forfaits[Zaakcode],0)), "n.v.t.")</f>
        <v>10</v>
      </c>
      <c r="E61" s="334">
        <f t="shared" si="1"/>
        <v>3</v>
      </c>
      <c r="F61" s="337">
        <f>SUMIFS(bron_opvolging[toeslag opvolging AV],bron_opvolging[Jaar Besluit Rel1 Vas Datum],"2022",bron_opvolging[Vaststelkategorie],Tabel_opvolging2022[[#This Row],[Vaststelkategorie]]) / $D$6</f>
        <v>0</v>
      </c>
      <c r="G61" s="334">
        <f>MIN($D$7,Tabel_opvolging2022[[#This Row],[forfait VdMII prc]])</f>
        <v>10</v>
      </c>
      <c r="H61" s="334">
        <f>IFERROR(ROUND(Tabel_opvolging2022[[#This Row],[forfait VdMII adv]]*$D$5,$D$8),  $D$6)</f>
        <v>3</v>
      </c>
      <c r="I61" s="337">
        <f>(Tabel_opvolging2022[[#This Row],[aantal opvolging pocedure 2022]] * (Tabel_opvolging2022[[#This Row],[toeslag opvolging VdM II prc]]-$D$6)) + (Tabel_opvolging2022[[#This Row],[aantal opvolging advies 2022*]] * (Tabel_opvolging2022[[#This Row],[toeslag opvolging VdM II adv]]-$D$6))</f>
        <v>17</v>
      </c>
      <c r="J61" s="335">
        <f>Tabel_opvolging2022[[#This Row],[totaal extra punten t.o.v. huidige toeslag]] * tarief_huidig</f>
        <v>2603.1334999999999</v>
      </c>
      <c r="L61" s="328" t="s">
        <v>82</v>
      </c>
      <c r="M6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34</v>
      </c>
      <c r="N61" s="334">
        <f>IFERROR(INDEX(Tabel_forfaits[forfait VdM II voor berekening],MATCH(Tabel_opvolging2023[[#This Row],[Vaststelkategorie]],Tabel_forfaits[Zaakcode],0)), "n.v.t.")</f>
        <v>10</v>
      </c>
      <c r="O61" s="334">
        <f>IFERROR(ROUND(Tabel_opvolging2023[[#This Row],[forfait VdMII prc]]*$D$5,$D$8),  $D$6)</f>
        <v>3</v>
      </c>
      <c r="P61" s="334">
        <f>SUMIFS(bron_opvolging[toeslag opvolging AV],bron_opvolging[Jaar Besluit Rel1 Vas Datum],"2023",bron_opvolging[Vaststelkategorie],Tabel_opvolging2023[[#This Row],[Vaststelkategorie]]) / $D$6</f>
        <v>1</v>
      </c>
      <c r="Q61" s="334">
        <f>MIN($D$7,Tabel_opvolging2023[[#This Row],[forfait VdMII prc]])</f>
        <v>10</v>
      </c>
      <c r="R61" s="334">
        <f>IFERROR(ROUND(Tabel_opvolging2023[[#This Row],[forfait VdMII adv]]*$D$5,$D$8),  $D$6)</f>
        <v>3</v>
      </c>
      <c r="S61" s="334">
        <f>(Tabel_opvolging2023[[#This Row],[aantal opvolging procedure 2023]] * (Tabel_opvolging2023[[#This Row],[toeslag opvolging VdM II prc]]-$D$6)) + (Tabel_opvolging2023[[#This Row],[aantal opvolging advies 2023*]] * (Tabel_opvolging2023[[#This Row],[toeslag opvolging VdM II adv]]-$D$6))</f>
        <v>35</v>
      </c>
      <c r="T61" s="335">
        <f>Tabel_opvolging2023[[#This Row],[totaal extra punten t.o.v. huidige toeslag]] * tarief_huidig</f>
        <v>5359.3924999999999</v>
      </c>
    </row>
    <row r="62" spans="2:20" x14ac:dyDescent="0.3">
      <c r="B62" s="328" t="s">
        <v>83</v>
      </c>
      <c r="C6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62" s="334">
        <f>IFERROR(INDEX(Tabel_forfaits[forfait VdM II voor berekening],MATCH(Tabel_opvolging2022[[#This Row],[Vaststelkategorie]],Tabel_forfaits[Zaakcode],0)), "n.v.t.")</f>
        <v>9</v>
      </c>
      <c r="E62" s="334">
        <f t="shared" si="1"/>
        <v>2</v>
      </c>
      <c r="F62" s="337">
        <f>SUMIFS(bron_opvolging[toeslag opvolging AV],bron_opvolging[Jaar Besluit Rel1 Vas Datum],"2022",bron_opvolging[Vaststelkategorie],Tabel_opvolging2022[[#This Row],[Vaststelkategorie]]) / $D$6</f>
        <v>0</v>
      </c>
      <c r="G62" s="334">
        <f>MIN($D$7,Tabel_opvolging2022[[#This Row],[forfait VdMII prc]])</f>
        <v>9</v>
      </c>
      <c r="H62" s="334">
        <f>IFERROR(ROUND(Tabel_opvolging2022[[#This Row],[forfait VdMII adv]]*$D$5,$D$8),  $D$6)</f>
        <v>2</v>
      </c>
      <c r="I62" s="337">
        <f>(Tabel_opvolging2022[[#This Row],[aantal opvolging pocedure 2022]] * (Tabel_opvolging2022[[#This Row],[toeslag opvolging VdM II prc]]-$D$6)) + (Tabel_opvolging2022[[#This Row],[aantal opvolging advies 2022*]] * (Tabel_opvolging2022[[#This Row],[toeslag opvolging VdM II adv]]-$D$6))</f>
        <v>0</v>
      </c>
      <c r="J62" s="335">
        <f>Tabel_opvolging2022[[#This Row],[totaal extra punten t.o.v. huidige toeslag]] * tarief_huidig</f>
        <v>0</v>
      </c>
      <c r="L62" s="328" t="s">
        <v>83</v>
      </c>
      <c r="M6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62" s="334">
        <f>IFERROR(INDEX(Tabel_forfaits[forfait VdM II voor berekening],MATCH(Tabel_opvolging2023[[#This Row],[Vaststelkategorie]],Tabel_forfaits[Zaakcode],0)), "n.v.t.")</f>
        <v>9</v>
      </c>
      <c r="O62" s="334">
        <f>IFERROR(ROUND(Tabel_opvolging2023[[#This Row],[forfait VdMII prc]]*$D$5,$D$8),  $D$6)</f>
        <v>2</v>
      </c>
      <c r="P62" s="334">
        <f>SUMIFS(bron_opvolging[toeslag opvolging AV],bron_opvolging[Jaar Besluit Rel1 Vas Datum],"2023",bron_opvolging[Vaststelkategorie],Tabel_opvolging2023[[#This Row],[Vaststelkategorie]]) / $D$6</f>
        <v>0</v>
      </c>
      <c r="Q62" s="334">
        <f>MIN($D$7,Tabel_opvolging2023[[#This Row],[forfait VdMII prc]])</f>
        <v>9</v>
      </c>
      <c r="R62" s="334">
        <f>IFERROR(ROUND(Tabel_opvolging2023[[#This Row],[forfait VdMII adv]]*$D$5,$D$8),  $D$6)</f>
        <v>2</v>
      </c>
      <c r="S62" s="334">
        <f>(Tabel_opvolging2023[[#This Row],[aantal opvolging procedure 2023]] * (Tabel_opvolging2023[[#This Row],[toeslag opvolging VdM II prc]]-$D$6)) + (Tabel_opvolging2023[[#This Row],[aantal opvolging advies 2023*]] * (Tabel_opvolging2023[[#This Row],[toeslag opvolging VdM II adv]]-$D$6))</f>
        <v>0</v>
      </c>
      <c r="T62" s="335">
        <f>Tabel_opvolging2023[[#This Row],[totaal extra punten t.o.v. huidige toeslag]] * tarief_huidig</f>
        <v>0</v>
      </c>
    </row>
    <row r="63" spans="2:20" x14ac:dyDescent="0.3">
      <c r="B63" s="328" t="s">
        <v>84</v>
      </c>
      <c r="C6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v>
      </c>
      <c r="D63" s="334">
        <f>IFERROR(INDEX(Tabel_forfaits[forfait VdM II voor berekening],MATCH(Tabel_opvolging2022[[#This Row],[Vaststelkategorie]],Tabel_forfaits[Zaakcode],0)), "n.v.t.")</f>
        <v>13</v>
      </c>
      <c r="E63" s="334">
        <f t="shared" si="1"/>
        <v>3</v>
      </c>
      <c r="F63" s="337">
        <f>SUMIFS(bron_opvolging[toeslag opvolging AV],bron_opvolging[Jaar Besluit Rel1 Vas Datum],"2022",bron_opvolging[Vaststelkategorie],Tabel_opvolging2022[[#This Row],[Vaststelkategorie]]) / $D$6</f>
        <v>2</v>
      </c>
      <c r="G63" s="334">
        <f>MIN($D$7,Tabel_opvolging2022[[#This Row],[forfait VdMII prc]])</f>
        <v>10</v>
      </c>
      <c r="H63" s="334">
        <f>IFERROR(ROUND(Tabel_opvolging2022[[#This Row],[forfait VdMII adv]]*$D$5,$D$8),  $D$6)</f>
        <v>3</v>
      </c>
      <c r="I63" s="337">
        <f>(Tabel_opvolging2022[[#This Row],[aantal opvolging pocedure 2022]] * (Tabel_opvolging2022[[#This Row],[toeslag opvolging VdM II prc]]-$D$6)) + (Tabel_opvolging2022[[#This Row],[aantal opvolging advies 2022*]] * (Tabel_opvolging2022[[#This Row],[toeslag opvolging VdM II adv]]-$D$6))</f>
        <v>9</v>
      </c>
      <c r="J63" s="335">
        <f>Tabel_opvolging2022[[#This Row],[totaal extra punten t.o.v. huidige toeslag]] * tarief_huidig</f>
        <v>1378.1295</v>
      </c>
      <c r="L63" s="328" t="s">
        <v>84</v>
      </c>
      <c r="M6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v>
      </c>
      <c r="N63" s="334">
        <f>IFERROR(INDEX(Tabel_forfaits[forfait VdM II voor berekening],MATCH(Tabel_opvolging2023[[#This Row],[Vaststelkategorie]],Tabel_forfaits[Zaakcode],0)), "n.v.t.")</f>
        <v>13</v>
      </c>
      <c r="O63" s="334">
        <f>IFERROR(ROUND(Tabel_opvolging2023[[#This Row],[forfait VdMII prc]]*$D$5,$D$8),  $D$6)</f>
        <v>3</v>
      </c>
      <c r="P63" s="334">
        <f>SUMIFS(bron_opvolging[toeslag opvolging AV],bron_opvolging[Jaar Besluit Rel1 Vas Datum],"2023",bron_opvolging[Vaststelkategorie],Tabel_opvolging2023[[#This Row],[Vaststelkategorie]]) / $D$6</f>
        <v>3</v>
      </c>
      <c r="Q63" s="334">
        <f>MIN($D$7,Tabel_opvolging2023[[#This Row],[forfait VdMII prc]])</f>
        <v>10</v>
      </c>
      <c r="R63" s="334">
        <f>IFERROR(ROUND(Tabel_opvolging2023[[#This Row],[forfait VdMII adv]]*$D$5,$D$8),  $D$6)</f>
        <v>3</v>
      </c>
      <c r="S63" s="334">
        <f>(Tabel_opvolging2023[[#This Row],[aantal opvolging procedure 2023]] * (Tabel_opvolging2023[[#This Row],[toeslag opvolging VdM II prc]]-$D$6)) + (Tabel_opvolging2023[[#This Row],[aantal opvolging advies 2023*]] * (Tabel_opvolging2023[[#This Row],[toeslag opvolging VdM II adv]]-$D$6))</f>
        <v>8</v>
      </c>
      <c r="T63" s="335">
        <f>Tabel_opvolging2023[[#This Row],[totaal extra punten t.o.v. huidige toeslag]] * tarief_huidig</f>
        <v>1225.0039999999999</v>
      </c>
    </row>
    <row r="64" spans="2:20" x14ac:dyDescent="0.3">
      <c r="B64" s="328" t="s">
        <v>86</v>
      </c>
      <c r="C6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40</v>
      </c>
      <c r="D64" s="334">
        <f>IFERROR(INDEX(Tabel_forfaits[forfait VdM II voor berekening],MATCH(Tabel_opvolging2022[[#This Row],[Vaststelkategorie]],Tabel_forfaits[Zaakcode],0)), "n.v.t.")</f>
        <v>13</v>
      </c>
      <c r="E64" s="334">
        <f t="shared" si="1"/>
        <v>3</v>
      </c>
      <c r="F64" s="337">
        <f>SUMIFS(bron_opvolging[toeslag opvolging AV],bron_opvolging[Jaar Besluit Rel1 Vas Datum],"2022",bron_opvolging[Vaststelkategorie],Tabel_opvolging2022[[#This Row],[Vaststelkategorie]]) / $D$6</f>
        <v>5</v>
      </c>
      <c r="G64" s="334">
        <f>MIN($D$7,Tabel_opvolging2022[[#This Row],[forfait VdMII prc]])</f>
        <v>10</v>
      </c>
      <c r="H64" s="334">
        <f>IFERROR(ROUND(Tabel_opvolging2022[[#This Row],[forfait VdMII adv]]*$D$5,$D$8),  $D$6)</f>
        <v>3</v>
      </c>
      <c r="I64" s="337">
        <f>(Tabel_opvolging2022[[#This Row],[aantal opvolging pocedure 2022]] * (Tabel_opvolging2022[[#This Row],[toeslag opvolging VdM II prc]]-$D$6)) + (Tabel_opvolging2022[[#This Row],[aantal opvolging advies 2022*]] * (Tabel_opvolging2022[[#This Row],[toeslag opvolging VdM II adv]]-$D$6))</f>
        <v>45</v>
      </c>
      <c r="J64" s="335">
        <f>Tabel_opvolging2022[[#This Row],[totaal extra punten t.o.v. huidige toeslag]] * tarief_huidig</f>
        <v>6890.6474999999991</v>
      </c>
      <c r="L64" s="328" t="s">
        <v>86</v>
      </c>
      <c r="M6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53</v>
      </c>
      <c r="N64" s="334">
        <f>IFERROR(INDEX(Tabel_forfaits[forfait VdM II voor berekening],MATCH(Tabel_opvolging2023[[#This Row],[Vaststelkategorie]],Tabel_forfaits[Zaakcode],0)), "n.v.t.")</f>
        <v>13</v>
      </c>
      <c r="O64" s="334">
        <f>IFERROR(ROUND(Tabel_opvolging2023[[#This Row],[forfait VdMII prc]]*$D$5,$D$8),  $D$6)</f>
        <v>3</v>
      </c>
      <c r="P64" s="334">
        <f>SUMIFS(bron_opvolging[toeslag opvolging AV],bron_opvolging[Jaar Besluit Rel1 Vas Datum],"2023",bron_opvolging[Vaststelkategorie],Tabel_opvolging2023[[#This Row],[Vaststelkategorie]]) / $D$6</f>
        <v>5</v>
      </c>
      <c r="Q64" s="334">
        <f>MIN($D$7,Tabel_opvolging2023[[#This Row],[forfait VdMII prc]])</f>
        <v>10</v>
      </c>
      <c r="R64" s="334">
        <f>IFERROR(ROUND(Tabel_opvolging2023[[#This Row],[forfait VdMII adv]]*$D$5,$D$8),  $D$6)</f>
        <v>3</v>
      </c>
      <c r="S64" s="334">
        <f>(Tabel_opvolging2023[[#This Row],[aantal opvolging procedure 2023]] * (Tabel_opvolging2023[[#This Row],[toeslag opvolging VdM II prc]]-$D$6)) + (Tabel_opvolging2023[[#This Row],[aantal opvolging advies 2023*]] * (Tabel_opvolging2023[[#This Row],[toeslag opvolging VdM II adv]]-$D$6))</f>
        <v>58</v>
      </c>
      <c r="T64" s="335">
        <f>Tabel_opvolging2023[[#This Row],[totaal extra punten t.o.v. huidige toeslag]] * tarief_huidig</f>
        <v>8881.2789999999986</v>
      </c>
    </row>
    <row r="65" spans="2:20" x14ac:dyDescent="0.3">
      <c r="B65" s="328" t="s">
        <v>87</v>
      </c>
      <c r="C6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v>
      </c>
      <c r="D65" s="334">
        <f>IFERROR(INDEX(Tabel_forfaits[forfait VdM II voor berekening],MATCH(Tabel_opvolging2022[[#This Row],[Vaststelkategorie]],Tabel_forfaits[Zaakcode],0)), "n.v.t.")</f>
        <v>17</v>
      </c>
      <c r="E65" s="334">
        <f t="shared" si="1"/>
        <v>4</v>
      </c>
      <c r="F65" s="337">
        <f>SUMIFS(bron_opvolging[toeslag opvolging AV],bron_opvolging[Jaar Besluit Rel1 Vas Datum],"2022",bron_opvolging[Vaststelkategorie],Tabel_opvolging2022[[#This Row],[Vaststelkategorie]]) / $D$6</f>
        <v>3</v>
      </c>
      <c r="G65" s="334">
        <f>MIN($D$7,Tabel_opvolging2022[[#This Row],[forfait VdMII prc]])</f>
        <v>10</v>
      </c>
      <c r="H65" s="334">
        <f>IFERROR(ROUND(Tabel_opvolging2022[[#This Row],[forfait VdMII adv]]*$D$5,$D$8),  $D$6)</f>
        <v>3</v>
      </c>
      <c r="I65" s="337">
        <f>(Tabel_opvolging2022[[#This Row],[aantal opvolging pocedure 2022]] * (Tabel_opvolging2022[[#This Row],[toeslag opvolging VdM II prc]]-$D$6)) + (Tabel_opvolging2022[[#This Row],[aantal opvolging advies 2022*]] * (Tabel_opvolging2022[[#This Row],[toeslag opvolging VdM II adv]]-$D$6))</f>
        <v>17</v>
      </c>
      <c r="J65" s="335">
        <f>Tabel_opvolging2022[[#This Row],[totaal extra punten t.o.v. huidige toeslag]] * tarief_huidig</f>
        <v>2603.1334999999999</v>
      </c>
      <c r="L65" s="328" t="s">
        <v>87</v>
      </c>
      <c r="M6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8</v>
      </c>
      <c r="N65" s="334">
        <f>IFERROR(INDEX(Tabel_forfaits[forfait VdM II voor berekening],MATCH(Tabel_opvolging2023[[#This Row],[Vaststelkategorie]],Tabel_forfaits[Zaakcode],0)), "n.v.t.")</f>
        <v>17</v>
      </c>
      <c r="O65" s="334">
        <f>IFERROR(ROUND(Tabel_opvolging2023[[#This Row],[forfait VdMII prc]]*$D$5,$D$8),  $D$6)</f>
        <v>4</v>
      </c>
      <c r="P65" s="334">
        <f>SUMIFS(bron_opvolging[toeslag opvolging AV],bron_opvolging[Jaar Besluit Rel1 Vas Datum],"2023",bron_opvolging[Vaststelkategorie],Tabel_opvolging2023[[#This Row],[Vaststelkategorie]]) / $D$6</f>
        <v>2</v>
      </c>
      <c r="Q65" s="334">
        <f>MIN($D$7,Tabel_opvolging2023[[#This Row],[forfait VdMII prc]])</f>
        <v>10</v>
      </c>
      <c r="R65" s="334">
        <f>IFERROR(ROUND(Tabel_opvolging2023[[#This Row],[forfait VdMII adv]]*$D$5,$D$8),  $D$6)</f>
        <v>3</v>
      </c>
      <c r="S65" s="334">
        <f>(Tabel_opvolging2023[[#This Row],[aantal opvolging procedure 2023]] * (Tabel_opvolging2023[[#This Row],[toeslag opvolging VdM II prc]]-$D$6)) + (Tabel_opvolging2023[[#This Row],[aantal opvolging advies 2023*]] * (Tabel_opvolging2023[[#This Row],[toeslag opvolging VdM II adv]]-$D$6))</f>
        <v>18</v>
      </c>
      <c r="T65" s="335">
        <f>Tabel_opvolging2023[[#This Row],[totaal extra punten t.o.v. huidige toeslag]] * tarief_huidig</f>
        <v>2756.259</v>
      </c>
    </row>
    <row r="66" spans="2:20" x14ac:dyDescent="0.3">
      <c r="B66" s="328" t="s">
        <v>88</v>
      </c>
      <c r="C6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23</v>
      </c>
      <c r="D66" s="334">
        <f>IFERROR(INDEX(Tabel_forfaits[forfait VdM II voor berekening],MATCH(Tabel_opvolging2022[[#This Row],[Vaststelkategorie]],Tabel_forfaits[Zaakcode],0)), "n.v.t.")</f>
        <v>6</v>
      </c>
      <c r="E66" s="334">
        <f t="shared" si="1"/>
        <v>2</v>
      </c>
      <c r="F66" s="337">
        <f>SUMIFS(bron_opvolging[toeslag opvolging AV],bron_opvolging[Jaar Besluit Rel1 Vas Datum],"2022",bron_opvolging[Vaststelkategorie],Tabel_opvolging2022[[#This Row],[Vaststelkategorie]]) / $D$6</f>
        <v>0</v>
      </c>
      <c r="G66" s="334">
        <f>MIN($D$7,Tabel_opvolging2022[[#This Row],[forfait VdMII prc]])</f>
        <v>6</v>
      </c>
      <c r="H66" s="334">
        <f>IFERROR(ROUND(Tabel_opvolging2022[[#This Row],[forfait VdMII adv]]*$D$5,$D$8),  $D$6)</f>
        <v>2</v>
      </c>
      <c r="I66" s="337">
        <f>(Tabel_opvolging2022[[#This Row],[aantal opvolging pocedure 2022]] * (Tabel_opvolging2022[[#This Row],[toeslag opvolging VdM II prc]]-$D$6)) + (Tabel_opvolging2022[[#This Row],[aantal opvolging advies 2022*]] * (Tabel_opvolging2022[[#This Row],[toeslag opvolging VdM II adv]]-$D$6))</f>
        <v>0</v>
      </c>
      <c r="J66" s="335">
        <f>Tabel_opvolging2022[[#This Row],[totaal extra punten t.o.v. huidige toeslag]] * tarief_huidig</f>
        <v>0</v>
      </c>
      <c r="L66" s="328" t="s">
        <v>88</v>
      </c>
      <c r="M6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51</v>
      </c>
      <c r="N66" s="334">
        <f>IFERROR(INDEX(Tabel_forfaits[forfait VdM II voor berekening],MATCH(Tabel_opvolging2023[[#This Row],[Vaststelkategorie]],Tabel_forfaits[Zaakcode],0)), "n.v.t.")</f>
        <v>6</v>
      </c>
      <c r="O66" s="334">
        <f>IFERROR(ROUND(Tabel_opvolging2023[[#This Row],[forfait VdMII prc]]*$D$5,$D$8),  $D$6)</f>
        <v>2</v>
      </c>
      <c r="P66" s="334">
        <f>SUMIFS(bron_opvolging[toeslag opvolging AV],bron_opvolging[Jaar Besluit Rel1 Vas Datum],"2023",bron_opvolging[Vaststelkategorie],Tabel_opvolging2023[[#This Row],[Vaststelkategorie]]) / $D$6</f>
        <v>0</v>
      </c>
      <c r="Q66" s="334">
        <f>MIN($D$7,Tabel_opvolging2023[[#This Row],[forfait VdMII prc]])</f>
        <v>6</v>
      </c>
      <c r="R66" s="334">
        <f>IFERROR(ROUND(Tabel_opvolging2023[[#This Row],[forfait VdMII adv]]*$D$5,$D$8),  $D$6)</f>
        <v>2</v>
      </c>
      <c r="S66" s="334">
        <f>(Tabel_opvolging2023[[#This Row],[aantal opvolging procedure 2023]] * (Tabel_opvolging2023[[#This Row],[toeslag opvolging VdM II prc]]-$D$6)) + (Tabel_opvolging2023[[#This Row],[aantal opvolging advies 2023*]] * (Tabel_opvolging2023[[#This Row],[toeslag opvolging VdM II adv]]-$D$6))</f>
        <v>0</v>
      </c>
      <c r="T66" s="335">
        <f>Tabel_opvolging2023[[#This Row],[totaal extra punten t.o.v. huidige toeslag]] * tarief_huidig</f>
        <v>0</v>
      </c>
    </row>
    <row r="67" spans="2:20" x14ac:dyDescent="0.3">
      <c r="B67" s="328" t="s">
        <v>89</v>
      </c>
      <c r="C6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409</v>
      </c>
      <c r="D67" s="334">
        <f>IFERROR(INDEX(Tabel_forfaits[forfait VdM II voor berekening],MATCH(Tabel_opvolging2022[[#This Row],[Vaststelkategorie]],Tabel_forfaits[Zaakcode],0)), "n.v.t.")</f>
        <v>7</v>
      </c>
      <c r="E67" s="334">
        <f t="shared" si="1"/>
        <v>2</v>
      </c>
      <c r="F67" s="337">
        <f>SUMIFS(bron_opvolging[toeslag opvolging AV],bron_opvolging[Jaar Besluit Rel1 Vas Datum],"2022",bron_opvolging[Vaststelkategorie],Tabel_opvolging2022[[#This Row],[Vaststelkategorie]]) / $D$6</f>
        <v>0</v>
      </c>
      <c r="G67" s="334">
        <f>MIN($D$7,Tabel_opvolging2022[[#This Row],[forfait VdMII prc]])</f>
        <v>7</v>
      </c>
      <c r="H67" s="334">
        <f>IFERROR(ROUND(Tabel_opvolging2022[[#This Row],[forfait VdMII adv]]*$D$5,$D$8),  $D$6)</f>
        <v>2</v>
      </c>
      <c r="I67" s="337">
        <f>(Tabel_opvolging2022[[#This Row],[aantal opvolging pocedure 2022]] * (Tabel_opvolging2022[[#This Row],[toeslag opvolging VdM II prc]]-$D$6)) + (Tabel_opvolging2022[[#This Row],[aantal opvolging advies 2022*]] * (Tabel_opvolging2022[[#This Row],[toeslag opvolging VdM II adv]]-$D$6))</f>
        <v>0</v>
      </c>
      <c r="J67" s="335">
        <f>Tabel_opvolging2022[[#This Row],[totaal extra punten t.o.v. huidige toeslag]] * tarief_huidig</f>
        <v>0</v>
      </c>
      <c r="L67" s="328" t="s">
        <v>89</v>
      </c>
      <c r="M6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441</v>
      </c>
      <c r="N67" s="334">
        <f>IFERROR(INDEX(Tabel_forfaits[forfait VdM II voor berekening],MATCH(Tabel_opvolging2023[[#This Row],[Vaststelkategorie]],Tabel_forfaits[Zaakcode],0)), "n.v.t.")</f>
        <v>7</v>
      </c>
      <c r="O67" s="334">
        <f>IFERROR(ROUND(Tabel_opvolging2023[[#This Row],[forfait VdMII prc]]*$D$5,$D$8),  $D$6)</f>
        <v>2</v>
      </c>
      <c r="P67" s="334">
        <f>SUMIFS(bron_opvolging[toeslag opvolging AV],bron_opvolging[Jaar Besluit Rel1 Vas Datum],"2023",bron_opvolging[Vaststelkategorie],Tabel_opvolging2023[[#This Row],[Vaststelkategorie]]) / $D$6</f>
        <v>0</v>
      </c>
      <c r="Q67" s="334">
        <f>MIN($D$7,Tabel_opvolging2023[[#This Row],[forfait VdMII prc]])</f>
        <v>7</v>
      </c>
      <c r="R67" s="334">
        <f>IFERROR(ROUND(Tabel_opvolging2023[[#This Row],[forfait VdMII adv]]*$D$5,$D$8),  $D$6)</f>
        <v>2</v>
      </c>
      <c r="S67" s="334">
        <f>(Tabel_opvolging2023[[#This Row],[aantal opvolging procedure 2023]] * (Tabel_opvolging2023[[#This Row],[toeslag opvolging VdM II prc]]-$D$6)) + (Tabel_opvolging2023[[#This Row],[aantal opvolging advies 2023*]] * (Tabel_opvolging2023[[#This Row],[toeslag opvolging VdM II adv]]-$D$6))</f>
        <v>0</v>
      </c>
      <c r="T67" s="335">
        <f>Tabel_opvolging2023[[#This Row],[totaal extra punten t.o.v. huidige toeslag]] * tarief_huidig</f>
        <v>0</v>
      </c>
    </row>
    <row r="68" spans="2:20" x14ac:dyDescent="0.3">
      <c r="B68" s="328" t="s">
        <v>90</v>
      </c>
      <c r="C6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21</v>
      </c>
      <c r="D68" s="334">
        <f>IFERROR(INDEX(Tabel_forfaits[forfait VdM II voor berekening],MATCH(Tabel_opvolging2022[[#This Row],[Vaststelkategorie]],Tabel_forfaits[Zaakcode],0)), "n.v.t.")</f>
        <v>5</v>
      </c>
      <c r="E68" s="334">
        <f t="shared" si="1"/>
        <v>1</v>
      </c>
      <c r="F68" s="337">
        <f>SUMIFS(bron_opvolging[toeslag opvolging AV],bron_opvolging[Jaar Besluit Rel1 Vas Datum],"2022",bron_opvolging[Vaststelkategorie],Tabel_opvolging2022[[#This Row],[Vaststelkategorie]]) / $D$6</f>
        <v>0</v>
      </c>
      <c r="G68" s="334">
        <f>MIN($D$7,Tabel_opvolging2022[[#This Row],[forfait VdMII prc]])</f>
        <v>5</v>
      </c>
      <c r="H68" s="334">
        <f>IFERROR(ROUND(Tabel_opvolging2022[[#This Row],[forfait VdMII adv]]*$D$5,$D$8),  $D$6)</f>
        <v>1</v>
      </c>
      <c r="I68" s="337">
        <f>(Tabel_opvolging2022[[#This Row],[aantal opvolging pocedure 2022]] * (Tabel_opvolging2022[[#This Row],[toeslag opvolging VdM II prc]]-$D$6)) + (Tabel_opvolging2022[[#This Row],[aantal opvolging advies 2022*]] * (Tabel_opvolging2022[[#This Row],[toeslag opvolging VdM II adv]]-$D$6))</f>
        <v>-21</v>
      </c>
      <c r="J68" s="335">
        <f>Tabel_opvolging2022[[#This Row],[totaal extra punten t.o.v. huidige toeslag]] * tarief_huidig</f>
        <v>-3215.6354999999999</v>
      </c>
      <c r="L68" s="328" t="s">
        <v>90</v>
      </c>
      <c r="M6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25</v>
      </c>
      <c r="N68" s="334">
        <f>IFERROR(INDEX(Tabel_forfaits[forfait VdM II voor berekening],MATCH(Tabel_opvolging2023[[#This Row],[Vaststelkategorie]],Tabel_forfaits[Zaakcode],0)), "n.v.t.")</f>
        <v>5</v>
      </c>
      <c r="O68" s="334">
        <f>IFERROR(ROUND(Tabel_opvolging2023[[#This Row],[forfait VdMII prc]]*$D$5,$D$8),  $D$6)</f>
        <v>1</v>
      </c>
      <c r="P68" s="334">
        <f>SUMIFS(bron_opvolging[toeslag opvolging AV],bron_opvolging[Jaar Besluit Rel1 Vas Datum],"2023",bron_opvolging[Vaststelkategorie],Tabel_opvolging2023[[#This Row],[Vaststelkategorie]]) / $D$6</f>
        <v>0</v>
      </c>
      <c r="Q68" s="334">
        <f>MIN($D$7,Tabel_opvolging2023[[#This Row],[forfait VdMII prc]])</f>
        <v>5</v>
      </c>
      <c r="R68" s="334">
        <f>IFERROR(ROUND(Tabel_opvolging2023[[#This Row],[forfait VdMII adv]]*$D$5,$D$8),  $D$6)</f>
        <v>1</v>
      </c>
      <c r="S68" s="334">
        <f>(Tabel_opvolging2023[[#This Row],[aantal opvolging procedure 2023]] * (Tabel_opvolging2023[[#This Row],[toeslag opvolging VdM II prc]]-$D$6)) + (Tabel_opvolging2023[[#This Row],[aantal opvolging advies 2023*]] * (Tabel_opvolging2023[[#This Row],[toeslag opvolging VdM II adv]]-$D$6))</f>
        <v>-25</v>
      </c>
      <c r="T68" s="335">
        <f>Tabel_opvolging2023[[#This Row],[totaal extra punten t.o.v. huidige toeslag]] * tarief_huidig</f>
        <v>-3828.1374999999998</v>
      </c>
    </row>
    <row r="69" spans="2:20" x14ac:dyDescent="0.3">
      <c r="B69" s="328" t="s">
        <v>91</v>
      </c>
      <c r="C6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1563</v>
      </c>
      <c r="D69" s="334">
        <f>IFERROR(INDEX(Tabel_forfaits[forfait VdM II voor berekening],MATCH(Tabel_opvolging2022[[#This Row],[Vaststelkategorie]],Tabel_forfaits[Zaakcode],0)), "n.v.t.")</f>
        <v>7</v>
      </c>
      <c r="E69" s="334">
        <f t="shared" si="1"/>
        <v>2</v>
      </c>
      <c r="F69" s="337">
        <f>SUMIFS(bron_opvolging[toeslag opvolging AV],bron_opvolging[Jaar Besluit Rel1 Vas Datum],"2022",bron_opvolging[Vaststelkategorie],Tabel_opvolging2022[[#This Row],[Vaststelkategorie]]) / $D$6</f>
        <v>0</v>
      </c>
      <c r="G69" s="334">
        <f>MIN($D$7,Tabel_opvolging2022[[#This Row],[forfait VdMII prc]])</f>
        <v>7</v>
      </c>
      <c r="H69" s="334">
        <f>IFERROR(ROUND(Tabel_opvolging2022[[#This Row],[forfait VdMII adv]]*$D$5,$D$8),  $D$6)</f>
        <v>2</v>
      </c>
      <c r="I69" s="337">
        <f>(Tabel_opvolging2022[[#This Row],[aantal opvolging pocedure 2022]] * (Tabel_opvolging2022[[#This Row],[toeslag opvolging VdM II prc]]-$D$6)) + (Tabel_opvolging2022[[#This Row],[aantal opvolging advies 2022*]] * (Tabel_opvolging2022[[#This Row],[toeslag opvolging VdM II adv]]-$D$6))</f>
        <v>0</v>
      </c>
      <c r="J69" s="335">
        <f>Tabel_opvolging2022[[#This Row],[totaal extra punten t.o.v. huidige toeslag]] * tarief_huidig</f>
        <v>0</v>
      </c>
      <c r="L69" s="328" t="s">
        <v>91</v>
      </c>
      <c r="M6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1709</v>
      </c>
      <c r="N69" s="334">
        <f>IFERROR(INDEX(Tabel_forfaits[forfait VdM II voor berekening],MATCH(Tabel_opvolging2023[[#This Row],[Vaststelkategorie]],Tabel_forfaits[Zaakcode],0)), "n.v.t.")</f>
        <v>7</v>
      </c>
      <c r="O69" s="334">
        <f>IFERROR(ROUND(Tabel_opvolging2023[[#This Row],[forfait VdMII prc]]*$D$5,$D$8),  $D$6)</f>
        <v>2</v>
      </c>
      <c r="P69" s="334">
        <f>SUMIFS(bron_opvolging[toeslag opvolging AV],bron_opvolging[Jaar Besluit Rel1 Vas Datum],"2023",bron_opvolging[Vaststelkategorie],Tabel_opvolging2023[[#This Row],[Vaststelkategorie]]) / $D$6</f>
        <v>0</v>
      </c>
      <c r="Q69" s="334">
        <f>MIN($D$7,Tabel_opvolging2023[[#This Row],[forfait VdMII prc]])</f>
        <v>7</v>
      </c>
      <c r="R69" s="334">
        <f>IFERROR(ROUND(Tabel_opvolging2023[[#This Row],[forfait VdMII adv]]*$D$5,$D$8),  $D$6)</f>
        <v>2</v>
      </c>
      <c r="S69" s="334">
        <f>(Tabel_opvolging2023[[#This Row],[aantal opvolging procedure 2023]] * (Tabel_opvolging2023[[#This Row],[toeslag opvolging VdM II prc]]-$D$6)) + (Tabel_opvolging2023[[#This Row],[aantal opvolging advies 2023*]] * (Tabel_opvolging2023[[#This Row],[toeslag opvolging VdM II adv]]-$D$6))</f>
        <v>0</v>
      </c>
      <c r="T69" s="335">
        <f>Tabel_opvolging2023[[#This Row],[totaal extra punten t.o.v. huidige toeslag]] * tarief_huidig</f>
        <v>0</v>
      </c>
    </row>
    <row r="70" spans="2:20" x14ac:dyDescent="0.3">
      <c r="B70" s="328" t="s">
        <v>92</v>
      </c>
      <c r="C7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186</v>
      </c>
      <c r="D70" s="334">
        <f>IFERROR(INDEX(Tabel_forfaits[forfait VdM II voor berekening],MATCH(Tabel_opvolging2022[[#This Row],[Vaststelkategorie]],Tabel_forfaits[Zaakcode],0)), "n.v.t.")</f>
        <v>6</v>
      </c>
      <c r="E70" s="334">
        <f t="shared" si="1"/>
        <v>2</v>
      </c>
      <c r="F70" s="337">
        <f>SUMIFS(bron_opvolging[toeslag opvolging AV],bron_opvolging[Jaar Besluit Rel1 Vas Datum],"2022",bron_opvolging[Vaststelkategorie],Tabel_opvolging2022[[#This Row],[Vaststelkategorie]]) / $D$6</f>
        <v>0</v>
      </c>
      <c r="G70" s="334">
        <f>MIN($D$7,Tabel_opvolging2022[[#This Row],[forfait VdMII prc]])</f>
        <v>6</v>
      </c>
      <c r="H70" s="334">
        <f>IFERROR(ROUND(Tabel_opvolging2022[[#This Row],[forfait VdMII adv]]*$D$5,$D$8),  $D$6)</f>
        <v>2</v>
      </c>
      <c r="I70" s="337">
        <f>(Tabel_opvolging2022[[#This Row],[aantal opvolging pocedure 2022]] * (Tabel_opvolging2022[[#This Row],[toeslag opvolging VdM II prc]]-$D$6)) + (Tabel_opvolging2022[[#This Row],[aantal opvolging advies 2022*]] * (Tabel_opvolging2022[[#This Row],[toeslag opvolging VdM II adv]]-$D$6))</f>
        <v>0</v>
      </c>
      <c r="J70" s="335">
        <f>Tabel_opvolging2022[[#This Row],[totaal extra punten t.o.v. huidige toeslag]] * tarief_huidig</f>
        <v>0</v>
      </c>
      <c r="L70" s="328" t="s">
        <v>92</v>
      </c>
      <c r="M7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177</v>
      </c>
      <c r="N70" s="334">
        <f>IFERROR(INDEX(Tabel_forfaits[forfait VdM II voor berekening],MATCH(Tabel_opvolging2023[[#This Row],[Vaststelkategorie]],Tabel_forfaits[Zaakcode],0)), "n.v.t.")</f>
        <v>6</v>
      </c>
      <c r="O70" s="334">
        <f>IFERROR(ROUND(Tabel_opvolging2023[[#This Row],[forfait VdMII prc]]*$D$5,$D$8),  $D$6)</f>
        <v>2</v>
      </c>
      <c r="P70" s="334">
        <f>SUMIFS(bron_opvolging[toeslag opvolging AV],bron_opvolging[Jaar Besluit Rel1 Vas Datum],"2023",bron_opvolging[Vaststelkategorie],Tabel_opvolging2023[[#This Row],[Vaststelkategorie]]) / $D$6</f>
        <v>0</v>
      </c>
      <c r="Q70" s="334">
        <f>MIN($D$7,Tabel_opvolging2023[[#This Row],[forfait VdMII prc]])</f>
        <v>6</v>
      </c>
      <c r="R70" s="334">
        <f>IFERROR(ROUND(Tabel_opvolging2023[[#This Row],[forfait VdMII adv]]*$D$5,$D$8),  $D$6)</f>
        <v>2</v>
      </c>
      <c r="S70" s="334">
        <f>(Tabel_opvolging2023[[#This Row],[aantal opvolging procedure 2023]] * (Tabel_opvolging2023[[#This Row],[toeslag opvolging VdM II prc]]-$D$6)) + (Tabel_opvolging2023[[#This Row],[aantal opvolging advies 2023*]] * (Tabel_opvolging2023[[#This Row],[toeslag opvolging VdM II adv]]-$D$6))</f>
        <v>0</v>
      </c>
      <c r="T70" s="335">
        <f>Tabel_opvolging2023[[#This Row],[totaal extra punten t.o.v. huidige toeslag]] * tarief_huidig</f>
        <v>0</v>
      </c>
    </row>
    <row r="71" spans="2:20" x14ac:dyDescent="0.3">
      <c r="B71" s="328" t="s">
        <v>93</v>
      </c>
      <c r="C7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20</v>
      </c>
      <c r="D71" s="334">
        <f>IFERROR(INDEX(Tabel_forfaits[forfait VdM II voor berekening],MATCH(Tabel_opvolging2022[[#This Row],[Vaststelkategorie]],Tabel_forfaits[Zaakcode],0)), "n.v.t.")</f>
        <v>5</v>
      </c>
      <c r="E71" s="334">
        <f t="shared" si="1"/>
        <v>1</v>
      </c>
      <c r="F71" s="337">
        <f>SUMIFS(bron_opvolging[toeslag opvolging AV],bron_opvolging[Jaar Besluit Rel1 Vas Datum],"2022",bron_opvolging[Vaststelkategorie],Tabel_opvolging2022[[#This Row],[Vaststelkategorie]]) / $D$6</f>
        <v>0</v>
      </c>
      <c r="G71" s="334">
        <f>MIN($D$7,Tabel_opvolging2022[[#This Row],[forfait VdMII prc]])</f>
        <v>5</v>
      </c>
      <c r="H71" s="334">
        <f>IFERROR(ROUND(Tabel_opvolging2022[[#This Row],[forfait VdMII adv]]*$D$5,$D$8),  $D$6)</f>
        <v>1</v>
      </c>
      <c r="I71" s="337">
        <f>(Tabel_opvolging2022[[#This Row],[aantal opvolging pocedure 2022]] * (Tabel_opvolging2022[[#This Row],[toeslag opvolging VdM II prc]]-$D$6)) + (Tabel_opvolging2022[[#This Row],[aantal opvolging advies 2022*]] * (Tabel_opvolging2022[[#This Row],[toeslag opvolging VdM II adv]]-$D$6))</f>
        <v>-20</v>
      </c>
      <c r="J71" s="335">
        <f>Tabel_opvolging2022[[#This Row],[totaal extra punten t.o.v. huidige toeslag]] * tarief_huidig</f>
        <v>-3062.5099999999998</v>
      </c>
      <c r="L71" s="328" t="s">
        <v>93</v>
      </c>
      <c r="M7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18</v>
      </c>
      <c r="N71" s="334">
        <f>IFERROR(INDEX(Tabel_forfaits[forfait VdM II voor berekening],MATCH(Tabel_opvolging2023[[#This Row],[Vaststelkategorie]],Tabel_forfaits[Zaakcode],0)), "n.v.t.")</f>
        <v>5</v>
      </c>
      <c r="O71" s="334">
        <f>IFERROR(ROUND(Tabel_opvolging2023[[#This Row],[forfait VdMII prc]]*$D$5,$D$8),  $D$6)</f>
        <v>1</v>
      </c>
      <c r="P71" s="334">
        <f>SUMIFS(bron_opvolging[toeslag opvolging AV],bron_opvolging[Jaar Besluit Rel1 Vas Datum],"2023",bron_opvolging[Vaststelkategorie],Tabel_opvolging2023[[#This Row],[Vaststelkategorie]]) / $D$6</f>
        <v>0</v>
      </c>
      <c r="Q71" s="334">
        <f>MIN($D$7,Tabel_opvolging2023[[#This Row],[forfait VdMII prc]])</f>
        <v>5</v>
      </c>
      <c r="R71" s="334">
        <f>IFERROR(ROUND(Tabel_opvolging2023[[#This Row],[forfait VdMII adv]]*$D$5,$D$8),  $D$6)</f>
        <v>1</v>
      </c>
      <c r="S71" s="334">
        <f>(Tabel_opvolging2023[[#This Row],[aantal opvolging procedure 2023]] * (Tabel_opvolging2023[[#This Row],[toeslag opvolging VdM II prc]]-$D$6)) + (Tabel_opvolging2023[[#This Row],[aantal opvolging advies 2023*]] * (Tabel_opvolging2023[[#This Row],[toeslag opvolging VdM II adv]]-$D$6))</f>
        <v>-18</v>
      </c>
      <c r="T71" s="335">
        <f>Tabel_opvolging2023[[#This Row],[totaal extra punten t.o.v. huidige toeslag]] * tarief_huidig</f>
        <v>-2756.259</v>
      </c>
    </row>
    <row r="72" spans="2:20" x14ac:dyDescent="0.3">
      <c r="B72" s="328" t="s">
        <v>94</v>
      </c>
      <c r="C7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1783</v>
      </c>
      <c r="D72" s="334">
        <f>IFERROR(INDEX(Tabel_forfaits[forfait VdM II voor berekening],MATCH(Tabel_opvolging2022[[#This Row],[Vaststelkategorie]],Tabel_forfaits[Zaakcode],0)), "n.v.t.")</f>
        <v>15</v>
      </c>
      <c r="E72" s="334">
        <f t="shared" si="1"/>
        <v>4</v>
      </c>
      <c r="F72" s="337">
        <f>SUMIFS(bron_opvolging[toeslag opvolging AV],bron_opvolging[Jaar Besluit Rel1 Vas Datum],"2022",bron_opvolging[Vaststelkategorie],Tabel_opvolging2022[[#This Row],[Vaststelkategorie]]) / $D$6</f>
        <v>0</v>
      </c>
      <c r="G72" s="334">
        <f>MIN($D$7,Tabel_opvolging2022[[#This Row],[forfait VdMII prc]])</f>
        <v>10</v>
      </c>
      <c r="H72" s="334">
        <f>IFERROR(ROUND(Tabel_opvolging2022[[#This Row],[forfait VdMII adv]]*$D$5,$D$8),  $D$6)</f>
        <v>3</v>
      </c>
      <c r="I72" s="337">
        <f>(Tabel_opvolging2022[[#This Row],[aantal opvolging pocedure 2022]] * (Tabel_opvolging2022[[#This Row],[toeslag opvolging VdM II prc]]-$D$6)) + (Tabel_opvolging2022[[#This Row],[aantal opvolging advies 2022*]] * (Tabel_opvolging2022[[#This Row],[toeslag opvolging VdM II adv]]-$D$6))</f>
        <v>3566</v>
      </c>
      <c r="J72" s="335">
        <f>Tabel_opvolging2022[[#This Row],[totaal extra punten t.o.v. huidige toeslag]] * tarief_huidig</f>
        <v>546045.53299999994</v>
      </c>
      <c r="L72" s="328" t="s">
        <v>94</v>
      </c>
      <c r="M7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1910</v>
      </c>
      <c r="N72" s="334">
        <f>IFERROR(INDEX(Tabel_forfaits[forfait VdM II voor berekening],MATCH(Tabel_opvolging2023[[#This Row],[Vaststelkategorie]],Tabel_forfaits[Zaakcode],0)), "n.v.t.")</f>
        <v>15</v>
      </c>
      <c r="O72" s="334">
        <f>IFERROR(ROUND(Tabel_opvolging2023[[#This Row],[forfait VdMII prc]]*$D$5,$D$8),  $D$6)</f>
        <v>4</v>
      </c>
      <c r="P72" s="334">
        <f>SUMIFS(bron_opvolging[toeslag opvolging AV],bron_opvolging[Jaar Besluit Rel1 Vas Datum],"2023",bron_opvolging[Vaststelkategorie],Tabel_opvolging2023[[#This Row],[Vaststelkategorie]]) / $D$6</f>
        <v>0</v>
      </c>
      <c r="Q72" s="334">
        <f>MIN($D$7,Tabel_opvolging2023[[#This Row],[forfait VdMII prc]])</f>
        <v>10</v>
      </c>
      <c r="R72" s="334">
        <f>IFERROR(ROUND(Tabel_opvolging2023[[#This Row],[forfait VdMII adv]]*$D$5,$D$8),  $D$6)</f>
        <v>3</v>
      </c>
      <c r="S72" s="334">
        <f>(Tabel_opvolging2023[[#This Row],[aantal opvolging procedure 2023]] * (Tabel_opvolging2023[[#This Row],[toeslag opvolging VdM II prc]]-$D$6)) + (Tabel_opvolging2023[[#This Row],[aantal opvolging advies 2023*]] * (Tabel_opvolging2023[[#This Row],[toeslag opvolging VdM II adv]]-$D$6))</f>
        <v>3820</v>
      </c>
      <c r="T72" s="335">
        <f>Tabel_opvolging2023[[#This Row],[totaal extra punten t.o.v. huidige toeslag]] * tarief_huidig</f>
        <v>584939.40999999992</v>
      </c>
    </row>
    <row r="73" spans="2:20" x14ac:dyDescent="0.3">
      <c r="B73" s="328" t="s">
        <v>95</v>
      </c>
      <c r="C7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84</v>
      </c>
      <c r="D73" s="334">
        <f>IFERROR(INDEX(Tabel_forfaits[forfait VdM II voor berekening],MATCH(Tabel_opvolging2022[[#This Row],[Vaststelkategorie]],Tabel_forfaits[Zaakcode],0)), "n.v.t.")</f>
        <v>8</v>
      </c>
      <c r="E73" s="334">
        <f t="shared" si="1"/>
        <v>2</v>
      </c>
      <c r="F73" s="337">
        <f>SUMIFS(bron_opvolging[toeslag opvolging AV],bron_opvolging[Jaar Besluit Rel1 Vas Datum],"2022",bron_opvolging[Vaststelkategorie],Tabel_opvolging2022[[#This Row],[Vaststelkategorie]]) / $D$6</f>
        <v>1</v>
      </c>
      <c r="G73" s="334">
        <f>MIN($D$7,Tabel_opvolging2022[[#This Row],[forfait VdMII prc]])</f>
        <v>8</v>
      </c>
      <c r="H73" s="334">
        <f>IFERROR(ROUND(Tabel_opvolging2022[[#This Row],[forfait VdMII adv]]*$D$5,$D$8),  $D$6)</f>
        <v>2</v>
      </c>
      <c r="I73" s="337">
        <f>(Tabel_opvolging2022[[#This Row],[aantal opvolging pocedure 2022]] * (Tabel_opvolging2022[[#This Row],[toeslag opvolging VdM II prc]]-$D$6)) + (Tabel_opvolging2022[[#This Row],[aantal opvolging advies 2022*]] * (Tabel_opvolging2022[[#This Row],[toeslag opvolging VdM II adv]]-$D$6))</f>
        <v>0</v>
      </c>
      <c r="J73" s="335">
        <f>Tabel_opvolging2022[[#This Row],[totaal extra punten t.o.v. huidige toeslag]] * tarief_huidig</f>
        <v>0</v>
      </c>
      <c r="L73" s="328" t="s">
        <v>95</v>
      </c>
      <c r="M7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70</v>
      </c>
      <c r="N73" s="334">
        <f>IFERROR(INDEX(Tabel_forfaits[forfait VdM II voor berekening],MATCH(Tabel_opvolging2023[[#This Row],[Vaststelkategorie]],Tabel_forfaits[Zaakcode],0)), "n.v.t.")</f>
        <v>8</v>
      </c>
      <c r="O73" s="334">
        <f>IFERROR(ROUND(Tabel_opvolging2023[[#This Row],[forfait VdMII prc]]*$D$5,$D$8),  $D$6)</f>
        <v>2</v>
      </c>
      <c r="P73" s="334">
        <f>SUMIFS(bron_opvolging[toeslag opvolging AV],bron_opvolging[Jaar Besluit Rel1 Vas Datum],"2023",bron_opvolging[Vaststelkategorie],Tabel_opvolging2023[[#This Row],[Vaststelkategorie]]) / $D$6</f>
        <v>2</v>
      </c>
      <c r="Q73" s="334">
        <f>MIN($D$7,Tabel_opvolging2023[[#This Row],[forfait VdMII prc]])</f>
        <v>8</v>
      </c>
      <c r="R73" s="334">
        <f>IFERROR(ROUND(Tabel_opvolging2023[[#This Row],[forfait VdMII adv]]*$D$5,$D$8),  $D$6)</f>
        <v>2</v>
      </c>
      <c r="S73" s="334">
        <f>(Tabel_opvolging2023[[#This Row],[aantal opvolging procedure 2023]] * (Tabel_opvolging2023[[#This Row],[toeslag opvolging VdM II prc]]-$D$6)) + (Tabel_opvolging2023[[#This Row],[aantal opvolging advies 2023*]] * (Tabel_opvolging2023[[#This Row],[toeslag opvolging VdM II adv]]-$D$6))</f>
        <v>0</v>
      </c>
      <c r="T73" s="335">
        <f>Tabel_opvolging2023[[#This Row],[totaal extra punten t.o.v. huidige toeslag]] * tarief_huidig</f>
        <v>0</v>
      </c>
    </row>
    <row r="74" spans="2:20" x14ac:dyDescent="0.3">
      <c r="B74" s="328" t="s">
        <v>96</v>
      </c>
      <c r="C7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23</v>
      </c>
      <c r="D74" s="334">
        <f>IFERROR(INDEX(Tabel_forfaits[forfait VdM II voor berekening],MATCH(Tabel_opvolging2022[[#This Row],[Vaststelkategorie]],Tabel_forfaits[Zaakcode],0)), "n.v.t.")</f>
        <v>10</v>
      </c>
      <c r="E74" s="334">
        <f t="shared" si="1"/>
        <v>3</v>
      </c>
      <c r="F74" s="337">
        <f>SUMIFS(bron_opvolging[toeslag opvolging AV],bron_opvolging[Jaar Besluit Rel1 Vas Datum],"2022",bron_opvolging[Vaststelkategorie],Tabel_opvolging2022[[#This Row],[Vaststelkategorie]]) / $D$6</f>
        <v>0</v>
      </c>
      <c r="G74" s="334">
        <f>MIN($D$7,Tabel_opvolging2022[[#This Row],[forfait VdMII prc]])</f>
        <v>10</v>
      </c>
      <c r="H74" s="334">
        <f>IFERROR(ROUND(Tabel_opvolging2022[[#This Row],[forfait VdMII adv]]*$D$5,$D$8),  $D$6)</f>
        <v>3</v>
      </c>
      <c r="I74" s="337">
        <f>(Tabel_opvolging2022[[#This Row],[aantal opvolging pocedure 2022]] * (Tabel_opvolging2022[[#This Row],[toeslag opvolging VdM II prc]]-$D$6)) + (Tabel_opvolging2022[[#This Row],[aantal opvolging advies 2022*]] * (Tabel_opvolging2022[[#This Row],[toeslag opvolging VdM II adv]]-$D$6))</f>
        <v>23</v>
      </c>
      <c r="J74" s="335">
        <f>Tabel_opvolging2022[[#This Row],[totaal extra punten t.o.v. huidige toeslag]] * tarief_huidig</f>
        <v>3521.8864999999996</v>
      </c>
      <c r="L74" s="328" t="s">
        <v>96</v>
      </c>
      <c r="M7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24</v>
      </c>
      <c r="N74" s="334">
        <f>IFERROR(INDEX(Tabel_forfaits[forfait VdM II voor berekening],MATCH(Tabel_opvolging2023[[#This Row],[Vaststelkategorie]],Tabel_forfaits[Zaakcode],0)), "n.v.t.")</f>
        <v>10</v>
      </c>
      <c r="O74" s="334">
        <f>IFERROR(ROUND(Tabel_opvolging2023[[#This Row],[forfait VdMII prc]]*$D$5,$D$8),  $D$6)</f>
        <v>3</v>
      </c>
      <c r="P74" s="334">
        <f>SUMIFS(bron_opvolging[toeslag opvolging AV],bron_opvolging[Jaar Besluit Rel1 Vas Datum],"2023",bron_opvolging[Vaststelkategorie],Tabel_opvolging2023[[#This Row],[Vaststelkategorie]]) / $D$6</f>
        <v>0</v>
      </c>
      <c r="Q74" s="334">
        <f>MIN($D$7,Tabel_opvolging2023[[#This Row],[forfait VdMII prc]])</f>
        <v>10</v>
      </c>
      <c r="R74" s="334">
        <f>IFERROR(ROUND(Tabel_opvolging2023[[#This Row],[forfait VdMII adv]]*$D$5,$D$8),  $D$6)</f>
        <v>3</v>
      </c>
      <c r="S74" s="334">
        <f>(Tabel_opvolging2023[[#This Row],[aantal opvolging procedure 2023]] * (Tabel_opvolging2023[[#This Row],[toeslag opvolging VdM II prc]]-$D$6)) + (Tabel_opvolging2023[[#This Row],[aantal opvolging advies 2023*]] * (Tabel_opvolging2023[[#This Row],[toeslag opvolging VdM II adv]]-$D$6))</f>
        <v>24</v>
      </c>
      <c r="T74" s="335">
        <f>Tabel_opvolging2023[[#This Row],[totaal extra punten t.o.v. huidige toeslag]] * tarief_huidig</f>
        <v>3675.0119999999997</v>
      </c>
    </row>
    <row r="75" spans="2:20" x14ac:dyDescent="0.3">
      <c r="B75" s="328" t="s">
        <v>97</v>
      </c>
      <c r="C7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75" s="334">
        <f>IFERROR(INDEX(Tabel_forfaits[forfait VdM II voor berekening],MATCH(Tabel_opvolging2022[[#This Row],[Vaststelkategorie]],Tabel_forfaits[Zaakcode],0)), "n.v.t.")</f>
        <v>10</v>
      </c>
      <c r="E75" s="334">
        <f t="shared" si="1"/>
        <v>3</v>
      </c>
      <c r="F75" s="337">
        <f>SUMIFS(bron_opvolging[toeslag opvolging AV],bron_opvolging[Jaar Besluit Rel1 Vas Datum],"2022",bron_opvolging[Vaststelkategorie],Tabel_opvolging2022[[#This Row],[Vaststelkategorie]]) / $D$6</f>
        <v>0</v>
      </c>
      <c r="G75" s="334">
        <f>MIN($D$7,Tabel_opvolging2022[[#This Row],[forfait VdMII prc]])</f>
        <v>10</v>
      </c>
      <c r="H75" s="334">
        <f>IFERROR(ROUND(Tabel_opvolging2022[[#This Row],[forfait VdMII adv]]*$D$5,$D$8),  $D$6)</f>
        <v>3</v>
      </c>
      <c r="I75" s="337">
        <f>(Tabel_opvolging2022[[#This Row],[aantal opvolging pocedure 2022]] * (Tabel_opvolging2022[[#This Row],[toeslag opvolging VdM II prc]]-$D$6)) + (Tabel_opvolging2022[[#This Row],[aantal opvolging advies 2022*]] * (Tabel_opvolging2022[[#This Row],[toeslag opvolging VdM II adv]]-$D$6))</f>
        <v>1</v>
      </c>
      <c r="J75" s="335">
        <f>Tabel_opvolging2022[[#This Row],[totaal extra punten t.o.v. huidige toeslag]] * tarief_huidig</f>
        <v>153.12549999999999</v>
      </c>
      <c r="L75" s="328" t="s">
        <v>97</v>
      </c>
      <c r="M7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75" s="334">
        <f>IFERROR(INDEX(Tabel_forfaits[forfait VdM II voor berekening],MATCH(Tabel_opvolging2023[[#This Row],[Vaststelkategorie]],Tabel_forfaits[Zaakcode],0)), "n.v.t.")</f>
        <v>10</v>
      </c>
      <c r="O75" s="334">
        <f>IFERROR(ROUND(Tabel_opvolging2023[[#This Row],[forfait VdMII prc]]*$D$5,$D$8),  $D$6)</f>
        <v>3</v>
      </c>
      <c r="P75" s="334">
        <f>SUMIFS(bron_opvolging[toeslag opvolging AV],bron_opvolging[Jaar Besluit Rel1 Vas Datum],"2023",bron_opvolging[Vaststelkategorie],Tabel_opvolging2023[[#This Row],[Vaststelkategorie]]) / $D$6</f>
        <v>0</v>
      </c>
      <c r="Q75" s="334">
        <f>MIN($D$7,Tabel_opvolging2023[[#This Row],[forfait VdMII prc]])</f>
        <v>10</v>
      </c>
      <c r="R75" s="334">
        <f>IFERROR(ROUND(Tabel_opvolging2023[[#This Row],[forfait VdMII adv]]*$D$5,$D$8),  $D$6)</f>
        <v>3</v>
      </c>
      <c r="S75" s="334">
        <f>(Tabel_opvolging2023[[#This Row],[aantal opvolging procedure 2023]] * (Tabel_opvolging2023[[#This Row],[toeslag opvolging VdM II prc]]-$D$6)) + (Tabel_opvolging2023[[#This Row],[aantal opvolging advies 2023*]] * (Tabel_opvolging2023[[#This Row],[toeslag opvolging VdM II adv]]-$D$6))</f>
        <v>4</v>
      </c>
      <c r="T75" s="335">
        <f>Tabel_opvolging2023[[#This Row],[totaal extra punten t.o.v. huidige toeslag]] * tarief_huidig</f>
        <v>612.50199999999995</v>
      </c>
    </row>
    <row r="76" spans="2:20" x14ac:dyDescent="0.3">
      <c r="B76" s="328" t="s">
        <v>99</v>
      </c>
      <c r="C7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76" s="334">
        <f>IFERROR(INDEX(Tabel_forfaits[forfait VdM II voor berekening],MATCH(Tabel_opvolging2022[[#This Row],[Vaststelkategorie]],Tabel_forfaits[Zaakcode],0)), "n.v.t.")</f>
        <v>11</v>
      </c>
      <c r="E76" s="334">
        <f t="shared" si="1"/>
        <v>3</v>
      </c>
      <c r="F76" s="337">
        <f>SUMIFS(bron_opvolging[toeslag opvolging AV],bron_opvolging[Jaar Besluit Rel1 Vas Datum],"2022",bron_opvolging[Vaststelkategorie],Tabel_opvolging2022[[#This Row],[Vaststelkategorie]]) / $D$6</f>
        <v>1</v>
      </c>
      <c r="G76" s="334">
        <f>MIN($D$7,Tabel_opvolging2022[[#This Row],[forfait VdMII prc]])</f>
        <v>10</v>
      </c>
      <c r="H76" s="334">
        <f>IFERROR(ROUND(Tabel_opvolging2022[[#This Row],[forfait VdMII adv]]*$D$5,$D$8),  $D$6)</f>
        <v>3</v>
      </c>
      <c r="I76" s="337">
        <f>(Tabel_opvolging2022[[#This Row],[aantal opvolging pocedure 2022]] * (Tabel_opvolging2022[[#This Row],[toeslag opvolging VdM II prc]]-$D$6)) + (Tabel_opvolging2022[[#This Row],[aantal opvolging advies 2022*]] * (Tabel_opvolging2022[[#This Row],[toeslag opvolging VdM II adv]]-$D$6))</f>
        <v>2</v>
      </c>
      <c r="J76" s="335">
        <f>Tabel_opvolging2022[[#This Row],[totaal extra punten t.o.v. huidige toeslag]] * tarief_huidig</f>
        <v>306.25099999999998</v>
      </c>
      <c r="L76" s="328" t="s">
        <v>99</v>
      </c>
      <c r="M7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76" s="334">
        <f>IFERROR(INDEX(Tabel_forfaits[forfait VdM II voor berekening],MATCH(Tabel_opvolging2023[[#This Row],[Vaststelkategorie]],Tabel_forfaits[Zaakcode],0)), "n.v.t.")</f>
        <v>11</v>
      </c>
      <c r="O76" s="334">
        <f>IFERROR(ROUND(Tabel_opvolging2023[[#This Row],[forfait VdMII prc]]*$D$5,$D$8),  $D$6)</f>
        <v>3</v>
      </c>
      <c r="P76" s="334">
        <f>SUMIFS(bron_opvolging[toeslag opvolging AV],bron_opvolging[Jaar Besluit Rel1 Vas Datum],"2023",bron_opvolging[Vaststelkategorie],Tabel_opvolging2023[[#This Row],[Vaststelkategorie]]) / $D$6</f>
        <v>0</v>
      </c>
      <c r="Q76" s="334">
        <f>MIN($D$7,Tabel_opvolging2023[[#This Row],[forfait VdMII prc]])</f>
        <v>10</v>
      </c>
      <c r="R76" s="334">
        <f>IFERROR(ROUND(Tabel_opvolging2023[[#This Row],[forfait VdMII adv]]*$D$5,$D$8),  $D$6)</f>
        <v>3</v>
      </c>
      <c r="S76" s="334">
        <f>(Tabel_opvolging2023[[#This Row],[aantal opvolging procedure 2023]] * (Tabel_opvolging2023[[#This Row],[toeslag opvolging VdM II prc]]-$D$6)) + (Tabel_opvolging2023[[#This Row],[aantal opvolging advies 2023*]] * (Tabel_opvolging2023[[#This Row],[toeslag opvolging VdM II adv]]-$D$6))</f>
        <v>2</v>
      </c>
      <c r="T76" s="335">
        <f>Tabel_opvolging2023[[#This Row],[totaal extra punten t.o.v. huidige toeslag]] * tarief_huidig</f>
        <v>306.25099999999998</v>
      </c>
    </row>
    <row r="77" spans="2:20" x14ac:dyDescent="0.3">
      <c r="B77" s="328" t="s">
        <v>100</v>
      </c>
      <c r="C7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74</v>
      </c>
      <c r="D77" s="334">
        <f>IFERROR(INDEX(Tabel_forfaits[forfait VdM II voor berekening],MATCH(Tabel_opvolging2022[[#This Row],[Vaststelkategorie]],Tabel_forfaits[Zaakcode],0)), "n.v.t.")</f>
        <v>9</v>
      </c>
      <c r="E77" s="334">
        <f t="shared" si="1"/>
        <v>2</v>
      </c>
      <c r="F77" s="337">
        <f>SUMIFS(bron_opvolging[toeslag opvolging AV],bron_opvolging[Jaar Besluit Rel1 Vas Datum],"2022",bron_opvolging[Vaststelkategorie],Tabel_opvolging2022[[#This Row],[Vaststelkategorie]]) / $D$6</f>
        <v>0</v>
      </c>
      <c r="G77" s="334">
        <f>MIN($D$7,Tabel_opvolging2022[[#This Row],[forfait VdMII prc]])</f>
        <v>9</v>
      </c>
      <c r="H77" s="334">
        <f>IFERROR(ROUND(Tabel_opvolging2022[[#This Row],[forfait VdMII adv]]*$D$5,$D$8),  $D$6)</f>
        <v>2</v>
      </c>
      <c r="I77" s="337">
        <f>(Tabel_opvolging2022[[#This Row],[aantal opvolging pocedure 2022]] * (Tabel_opvolging2022[[#This Row],[toeslag opvolging VdM II prc]]-$D$6)) + (Tabel_opvolging2022[[#This Row],[aantal opvolging advies 2022*]] * (Tabel_opvolging2022[[#This Row],[toeslag opvolging VdM II adv]]-$D$6))</f>
        <v>0</v>
      </c>
      <c r="J77" s="335">
        <f>Tabel_opvolging2022[[#This Row],[totaal extra punten t.o.v. huidige toeslag]] * tarief_huidig</f>
        <v>0</v>
      </c>
      <c r="L77" s="328" t="s">
        <v>100</v>
      </c>
      <c r="M7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36</v>
      </c>
      <c r="N77" s="334">
        <f>IFERROR(INDEX(Tabel_forfaits[forfait VdM II voor berekening],MATCH(Tabel_opvolging2023[[#This Row],[Vaststelkategorie]],Tabel_forfaits[Zaakcode],0)), "n.v.t.")</f>
        <v>9</v>
      </c>
      <c r="O77" s="334">
        <f>IFERROR(ROUND(Tabel_opvolging2023[[#This Row],[forfait VdMII prc]]*$D$5,$D$8),  $D$6)</f>
        <v>2</v>
      </c>
      <c r="P77" s="334">
        <f>SUMIFS(bron_opvolging[toeslag opvolging AV],bron_opvolging[Jaar Besluit Rel1 Vas Datum],"2023",bron_opvolging[Vaststelkategorie],Tabel_opvolging2023[[#This Row],[Vaststelkategorie]]) / $D$6</f>
        <v>0</v>
      </c>
      <c r="Q77" s="334">
        <f>MIN($D$7,Tabel_opvolging2023[[#This Row],[forfait VdMII prc]])</f>
        <v>9</v>
      </c>
      <c r="R77" s="334">
        <f>IFERROR(ROUND(Tabel_opvolging2023[[#This Row],[forfait VdMII adv]]*$D$5,$D$8),  $D$6)</f>
        <v>2</v>
      </c>
      <c r="S77" s="334">
        <f>(Tabel_opvolging2023[[#This Row],[aantal opvolging procedure 2023]] * (Tabel_opvolging2023[[#This Row],[toeslag opvolging VdM II prc]]-$D$6)) + (Tabel_opvolging2023[[#This Row],[aantal opvolging advies 2023*]] * (Tabel_opvolging2023[[#This Row],[toeslag opvolging VdM II adv]]-$D$6))</f>
        <v>0</v>
      </c>
      <c r="T77" s="335">
        <f>Tabel_opvolging2023[[#This Row],[totaal extra punten t.o.v. huidige toeslag]] * tarief_huidig</f>
        <v>0</v>
      </c>
    </row>
    <row r="78" spans="2:20" x14ac:dyDescent="0.3">
      <c r="B78" s="328" t="s">
        <v>101</v>
      </c>
      <c r="C7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6</v>
      </c>
      <c r="D78" s="334">
        <f>IFERROR(INDEX(Tabel_forfaits[forfait VdM II voor berekening],MATCH(Tabel_opvolging2022[[#This Row],[Vaststelkategorie]],Tabel_forfaits[Zaakcode],0)), "n.v.t.")</f>
        <v>7</v>
      </c>
      <c r="E78" s="334">
        <f t="shared" si="1"/>
        <v>2</v>
      </c>
      <c r="F78" s="337">
        <f>SUMIFS(bron_opvolging[toeslag opvolging AV],bron_opvolging[Jaar Besluit Rel1 Vas Datum],"2022",bron_opvolging[Vaststelkategorie],Tabel_opvolging2022[[#This Row],[Vaststelkategorie]]) / $D$6</f>
        <v>0</v>
      </c>
      <c r="G78" s="334">
        <f>MIN($D$7,Tabel_opvolging2022[[#This Row],[forfait VdMII prc]])</f>
        <v>7</v>
      </c>
      <c r="H78" s="334">
        <f>IFERROR(ROUND(Tabel_opvolging2022[[#This Row],[forfait VdMII adv]]*$D$5,$D$8),  $D$6)</f>
        <v>2</v>
      </c>
      <c r="I78" s="337">
        <f>(Tabel_opvolging2022[[#This Row],[aantal opvolging pocedure 2022]] * (Tabel_opvolging2022[[#This Row],[toeslag opvolging VdM II prc]]-$D$6)) + (Tabel_opvolging2022[[#This Row],[aantal opvolging advies 2022*]] * (Tabel_opvolging2022[[#This Row],[toeslag opvolging VdM II adv]]-$D$6))</f>
        <v>0</v>
      </c>
      <c r="J78" s="335">
        <f>Tabel_opvolging2022[[#This Row],[totaal extra punten t.o.v. huidige toeslag]] * tarief_huidig</f>
        <v>0</v>
      </c>
      <c r="L78" s="328" t="s">
        <v>101</v>
      </c>
      <c r="M7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78" s="334">
        <f>IFERROR(INDEX(Tabel_forfaits[forfait VdM II voor berekening],MATCH(Tabel_opvolging2023[[#This Row],[Vaststelkategorie]],Tabel_forfaits[Zaakcode],0)), "n.v.t.")</f>
        <v>7</v>
      </c>
      <c r="O78" s="334">
        <f>IFERROR(ROUND(Tabel_opvolging2023[[#This Row],[forfait VdMII prc]]*$D$5,$D$8),  $D$6)</f>
        <v>2</v>
      </c>
      <c r="P78" s="334">
        <f>SUMIFS(bron_opvolging[toeslag opvolging AV],bron_opvolging[Jaar Besluit Rel1 Vas Datum],"2023",bron_opvolging[Vaststelkategorie],Tabel_opvolging2023[[#This Row],[Vaststelkategorie]]) / $D$6</f>
        <v>0</v>
      </c>
      <c r="Q78" s="334">
        <f>MIN($D$7,Tabel_opvolging2023[[#This Row],[forfait VdMII prc]])</f>
        <v>7</v>
      </c>
      <c r="R78" s="334">
        <f>IFERROR(ROUND(Tabel_opvolging2023[[#This Row],[forfait VdMII adv]]*$D$5,$D$8),  $D$6)</f>
        <v>2</v>
      </c>
      <c r="S78" s="334">
        <f>(Tabel_opvolging2023[[#This Row],[aantal opvolging procedure 2023]] * (Tabel_opvolging2023[[#This Row],[toeslag opvolging VdM II prc]]-$D$6)) + (Tabel_opvolging2023[[#This Row],[aantal opvolging advies 2023*]] * (Tabel_opvolging2023[[#This Row],[toeslag opvolging VdM II adv]]-$D$6))</f>
        <v>0</v>
      </c>
      <c r="T78" s="335">
        <f>Tabel_opvolging2023[[#This Row],[totaal extra punten t.o.v. huidige toeslag]] * tarief_huidig</f>
        <v>0</v>
      </c>
    </row>
    <row r="79" spans="2:20" x14ac:dyDescent="0.3">
      <c r="B79" s="328" t="s">
        <v>102</v>
      </c>
      <c r="C7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v>
      </c>
      <c r="D79" s="334">
        <f>IFERROR(INDEX(Tabel_forfaits[forfait VdM II voor berekening],MATCH(Tabel_opvolging2022[[#This Row],[Vaststelkategorie]],Tabel_forfaits[Zaakcode],0)), "n.v.t.")</f>
        <v>8</v>
      </c>
      <c r="E79" s="334">
        <f t="shared" ref="E79:E110" si="2">IFERROR(ROUND(D79*$D$5,$D$8),  $D$6)</f>
        <v>2</v>
      </c>
      <c r="F79" s="337">
        <f>SUMIFS(bron_opvolging[toeslag opvolging AV],bron_opvolging[Jaar Besluit Rel1 Vas Datum],"2022",bron_opvolging[Vaststelkategorie],Tabel_opvolging2022[[#This Row],[Vaststelkategorie]]) / $D$6</f>
        <v>0</v>
      </c>
      <c r="G79" s="334">
        <f>MIN($D$7,Tabel_opvolging2022[[#This Row],[forfait VdMII prc]])</f>
        <v>8</v>
      </c>
      <c r="H79" s="334">
        <f>IFERROR(ROUND(Tabel_opvolging2022[[#This Row],[forfait VdMII adv]]*$D$5,$D$8),  $D$6)</f>
        <v>2</v>
      </c>
      <c r="I79" s="337">
        <f>(Tabel_opvolging2022[[#This Row],[aantal opvolging pocedure 2022]] * (Tabel_opvolging2022[[#This Row],[toeslag opvolging VdM II prc]]-$D$6)) + (Tabel_opvolging2022[[#This Row],[aantal opvolging advies 2022*]] * (Tabel_opvolging2022[[#This Row],[toeslag opvolging VdM II adv]]-$D$6))</f>
        <v>0</v>
      </c>
      <c r="J79" s="335">
        <f>Tabel_opvolging2022[[#This Row],[totaal extra punten t.o.v. huidige toeslag]] * tarief_huidig</f>
        <v>0</v>
      </c>
      <c r="L79" s="328" t="s">
        <v>102</v>
      </c>
      <c r="M7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79" s="334">
        <f>IFERROR(INDEX(Tabel_forfaits[forfait VdM II voor berekening],MATCH(Tabel_opvolging2023[[#This Row],[Vaststelkategorie]],Tabel_forfaits[Zaakcode],0)), "n.v.t.")</f>
        <v>8</v>
      </c>
      <c r="O79" s="334">
        <f>IFERROR(ROUND(Tabel_opvolging2023[[#This Row],[forfait VdMII prc]]*$D$5,$D$8),  $D$6)</f>
        <v>2</v>
      </c>
      <c r="P79" s="334">
        <f>SUMIFS(bron_opvolging[toeslag opvolging AV],bron_opvolging[Jaar Besluit Rel1 Vas Datum],"2023",bron_opvolging[Vaststelkategorie],Tabel_opvolging2023[[#This Row],[Vaststelkategorie]]) / $D$6</f>
        <v>0</v>
      </c>
      <c r="Q79" s="334">
        <f>MIN($D$7,Tabel_opvolging2023[[#This Row],[forfait VdMII prc]])</f>
        <v>8</v>
      </c>
      <c r="R79" s="334">
        <f>IFERROR(ROUND(Tabel_opvolging2023[[#This Row],[forfait VdMII adv]]*$D$5,$D$8),  $D$6)</f>
        <v>2</v>
      </c>
      <c r="S79" s="334">
        <f>(Tabel_opvolging2023[[#This Row],[aantal opvolging procedure 2023]] * (Tabel_opvolging2023[[#This Row],[toeslag opvolging VdM II prc]]-$D$6)) + (Tabel_opvolging2023[[#This Row],[aantal opvolging advies 2023*]] * (Tabel_opvolging2023[[#This Row],[toeslag opvolging VdM II adv]]-$D$6))</f>
        <v>0</v>
      </c>
      <c r="T79" s="335">
        <f>Tabel_opvolging2023[[#This Row],[totaal extra punten t.o.v. huidige toeslag]] * tarief_huidig</f>
        <v>0</v>
      </c>
    </row>
    <row r="80" spans="2:20" x14ac:dyDescent="0.3">
      <c r="B80" s="328" t="s">
        <v>103</v>
      </c>
      <c r="C8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111</v>
      </c>
      <c r="D80" s="334">
        <f>IFERROR(INDEX(Tabel_forfaits[forfait VdM II voor berekening],MATCH(Tabel_opvolging2022[[#This Row],[Vaststelkategorie]],Tabel_forfaits[Zaakcode],0)), "n.v.t.")</f>
        <v>9</v>
      </c>
      <c r="E80" s="334">
        <f t="shared" si="2"/>
        <v>2</v>
      </c>
      <c r="F80" s="337">
        <f>SUMIFS(bron_opvolging[toeslag opvolging AV],bron_opvolging[Jaar Besluit Rel1 Vas Datum],"2022",bron_opvolging[Vaststelkategorie],Tabel_opvolging2022[[#This Row],[Vaststelkategorie]]) / $D$6</f>
        <v>0</v>
      </c>
      <c r="G80" s="334">
        <f>MIN($D$7,Tabel_opvolging2022[[#This Row],[forfait VdMII prc]])</f>
        <v>9</v>
      </c>
      <c r="H80" s="334">
        <f>IFERROR(ROUND(Tabel_opvolging2022[[#This Row],[forfait VdMII adv]]*$D$5,$D$8),  $D$6)</f>
        <v>2</v>
      </c>
      <c r="I80" s="337">
        <f>(Tabel_opvolging2022[[#This Row],[aantal opvolging pocedure 2022]] * (Tabel_opvolging2022[[#This Row],[toeslag opvolging VdM II prc]]-$D$6)) + (Tabel_opvolging2022[[#This Row],[aantal opvolging advies 2022*]] * (Tabel_opvolging2022[[#This Row],[toeslag opvolging VdM II adv]]-$D$6))</f>
        <v>0</v>
      </c>
      <c r="J80" s="335">
        <f>Tabel_opvolging2022[[#This Row],[totaal extra punten t.o.v. huidige toeslag]] * tarief_huidig</f>
        <v>0</v>
      </c>
      <c r="L80" s="328" t="s">
        <v>103</v>
      </c>
      <c r="M8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299</v>
      </c>
      <c r="N80" s="334">
        <f>IFERROR(INDEX(Tabel_forfaits[forfait VdM II voor berekening],MATCH(Tabel_opvolging2023[[#This Row],[Vaststelkategorie]],Tabel_forfaits[Zaakcode],0)), "n.v.t.")</f>
        <v>9</v>
      </c>
      <c r="O80" s="334">
        <f>IFERROR(ROUND(Tabel_opvolging2023[[#This Row],[forfait VdMII prc]]*$D$5,$D$8),  $D$6)</f>
        <v>2</v>
      </c>
      <c r="P80" s="334">
        <f>SUMIFS(bron_opvolging[toeslag opvolging AV],bron_opvolging[Jaar Besluit Rel1 Vas Datum],"2023",bron_opvolging[Vaststelkategorie],Tabel_opvolging2023[[#This Row],[Vaststelkategorie]]) / $D$6</f>
        <v>0</v>
      </c>
      <c r="Q80" s="334">
        <f>MIN($D$7,Tabel_opvolging2023[[#This Row],[forfait VdMII prc]])</f>
        <v>9</v>
      </c>
      <c r="R80" s="334">
        <f>IFERROR(ROUND(Tabel_opvolging2023[[#This Row],[forfait VdMII adv]]*$D$5,$D$8),  $D$6)</f>
        <v>2</v>
      </c>
      <c r="S80" s="334">
        <f>(Tabel_opvolging2023[[#This Row],[aantal opvolging procedure 2023]] * (Tabel_opvolging2023[[#This Row],[toeslag opvolging VdM II prc]]-$D$6)) + (Tabel_opvolging2023[[#This Row],[aantal opvolging advies 2023*]] * (Tabel_opvolging2023[[#This Row],[toeslag opvolging VdM II adv]]-$D$6))</f>
        <v>0</v>
      </c>
      <c r="T80" s="335">
        <f>Tabel_opvolging2023[[#This Row],[totaal extra punten t.o.v. huidige toeslag]] * tarief_huidig</f>
        <v>0</v>
      </c>
    </row>
    <row r="81" spans="2:20" x14ac:dyDescent="0.3">
      <c r="B81" s="328" t="s">
        <v>104</v>
      </c>
      <c r="C8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69</v>
      </c>
      <c r="D81" s="334">
        <f>IFERROR(INDEX(Tabel_forfaits[forfait VdM II voor berekening],MATCH(Tabel_opvolging2022[[#This Row],[Vaststelkategorie]],Tabel_forfaits[Zaakcode],0)), "n.v.t.")</f>
        <v>11</v>
      </c>
      <c r="E81" s="334">
        <f t="shared" si="2"/>
        <v>3</v>
      </c>
      <c r="F81" s="337">
        <f>SUMIFS(bron_opvolging[toeslag opvolging AV],bron_opvolging[Jaar Besluit Rel1 Vas Datum],"2022",bron_opvolging[Vaststelkategorie],Tabel_opvolging2022[[#This Row],[Vaststelkategorie]]) / $D$6</f>
        <v>0</v>
      </c>
      <c r="G81" s="334">
        <f>MIN($D$7,Tabel_opvolging2022[[#This Row],[forfait VdMII prc]])</f>
        <v>10</v>
      </c>
      <c r="H81" s="334">
        <f>IFERROR(ROUND(Tabel_opvolging2022[[#This Row],[forfait VdMII adv]]*$D$5,$D$8),  $D$6)</f>
        <v>3</v>
      </c>
      <c r="I81" s="337">
        <f>(Tabel_opvolging2022[[#This Row],[aantal opvolging pocedure 2022]] * (Tabel_opvolging2022[[#This Row],[toeslag opvolging VdM II prc]]-$D$6)) + (Tabel_opvolging2022[[#This Row],[aantal opvolging advies 2022*]] * (Tabel_opvolging2022[[#This Row],[toeslag opvolging VdM II adv]]-$D$6))</f>
        <v>69</v>
      </c>
      <c r="J81" s="335">
        <f>Tabel_opvolging2022[[#This Row],[totaal extra punten t.o.v. huidige toeslag]] * tarief_huidig</f>
        <v>10565.6595</v>
      </c>
      <c r="L81" s="328" t="s">
        <v>104</v>
      </c>
      <c r="M8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67</v>
      </c>
      <c r="N81" s="334">
        <f>IFERROR(INDEX(Tabel_forfaits[forfait VdM II voor berekening],MATCH(Tabel_opvolging2023[[#This Row],[Vaststelkategorie]],Tabel_forfaits[Zaakcode],0)), "n.v.t.")</f>
        <v>11</v>
      </c>
      <c r="O81" s="334">
        <f>IFERROR(ROUND(Tabel_opvolging2023[[#This Row],[forfait VdMII prc]]*$D$5,$D$8),  $D$6)</f>
        <v>3</v>
      </c>
      <c r="P81" s="334">
        <f>SUMIFS(bron_opvolging[toeslag opvolging AV],bron_opvolging[Jaar Besluit Rel1 Vas Datum],"2023",bron_opvolging[Vaststelkategorie],Tabel_opvolging2023[[#This Row],[Vaststelkategorie]]) / $D$6</f>
        <v>0</v>
      </c>
      <c r="Q81" s="334">
        <f>MIN($D$7,Tabel_opvolging2023[[#This Row],[forfait VdMII prc]])</f>
        <v>10</v>
      </c>
      <c r="R81" s="334">
        <f>IFERROR(ROUND(Tabel_opvolging2023[[#This Row],[forfait VdMII adv]]*$D$5,$D$8),  $D$6)</f>
        <v>3</v>
      </c>
      <c r="S81" s="334">
        <f>(Tabel_opvolging2023[[#This Row],[aantal opvolging procedure 2023]] * (Tabel_opvolging2023[[#This Row],[toeslag opvolging VdM II prc]]-$D$6)) + (Tabel_opvolging2023[[#This Row],[aantal opvolging advies 2023*]] * (Tabel_opvolging2023[[#This Row],[toeslag opvolging VdM II adv]]-$D$6))</f>
        <v>67</v>
      </c>
      <c r="T81" s="335">
        <f>Tabel_opvolging2023[[#This Row],[totaal extra punten t.o.v. huidige toeslag]] * tarief_huidig</f>
        <v>10259.4085</v>
      </c>
    </row>
    <row r="82" spans="2:20" x14ac:dyDescent="0.3">
      <c r="B82" s="328" t="s">
        <v>105</v>
      </c>
      <c r="C8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37</v>
      </c>
      <c r="D82" s="334">
        <f>IFERROR(INDEX(Tabel_forfaits[forfait VdM II voor berekening],MATCH(Tabel_opvolging2022[[#This Row],[Vaststelkategorie]],Tabel_forfaits[Zaakcode],0)), "n.v.t.")</f>
        <v>6</v>
      </c>
      <c r="E82" s="334">
        <f t="shared" si="2"/>
        <v>2</v>
      </c>
      <c r="F82" s="337">
        <f>SUMIFS(bron_opvolging[toeslag opvolging AV],bron_opvolging[Jaar Besluit Rel1 Vas Datum],"2022",bron_opvolging[Vaststelkategorie],Tabel_opvolging2022[[#This Row],[Vaststelkategorie]]) / $D$6</f>
        <v>0</v>
      </c>
      <c r="G82" s="334">
        <f>MIN($D$7,Tabel_opvolging2022[[#This Row],[forfait VdMII prc]])</f>
        <v>6</v>
      </c>
      <c r="H82" s="334">
        <f>IFERROR(ROUND(Tabel_opvolging2022[[#This Row],[forfait VdMII adv]]*$D$5,$D$8),  $D$6)</f>
        <v>2</v>
      </c>
      <c r="I82" s="337">
        <f>(Tabel_opvolging2022[[#This Row],[aantal opvolging pocedure 2022]] * (Tabel_opvolging2022[[#This Row],[toeslag opvolging VdM II prc]]-$D$6)) + (Tabel_opvolging2022[[#This Row],[aantal opvolging advies 2022*]] * (Tabel_opvolging2022[[#This Row],[toeslag opvolging VdM II adv]]-$D$6))</f>
        <v>0</v>
      </c>
      <c r="J82" s="335">
        <f>Tabel_opvolging2022[[#This Row],[totaal extra punten t.o.v. huidige toeslag]] * tarief_huidig</f>
        <v>0</v>
      </c>
      <c r="L82" s="328" t="s">
        <v>105</v>
      </c>
      <c r="M8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75</v>
      </c>
      <c r="N82" s="334">
        <f>IFERROR(INDEX(Tabel_forfaits[forfait VdM II voor berekening],MATCH(Tabel_opvolging2023[[#This Row],[Vaststelkategorie]],Tabel_forfaits[Zaakcode],0)), "n.v.t.")</f>
        <v>6</v>
      </c>
      <c r="O82" s="334">
        <f>IFERROR(ROUND(Tabel_opvolging2023[[#This Row],[forfait VdMII prc]]*$D$5,$D$8),  $D$6)</f>
        <v>2</v>
      </c>
      <c r="P82" s="334">
        <f>SUMIFS(bron_opvolging[toeslag opvolging AV],bron_opvolging[Jaar Besluit Rel1 Vas Datum],"2023",bron_opvolging[Vaststelkategorie],Tabel_opvolging2023[[#This Row],[Vaststelkategorie]]) / $D$6</f>
        <v>0</v>
      </c>
      <c r="Q82" s="334">
        <f>MIN($D$7,Tabel_opvolging2023[[#This Row],[forfait VdMII prc]])</f>
        <v>6</v>
      </c>
      <c r="R82" s="334">
        <f>IFERROR(ROUND(Tabel_opvolging2023[[#This Row],[forfait VdMII adv]]*$D$5,$D$8),  $D$6)</f>
        <v>2</v>
      </c>
      <c r="S82" s="334">
        <f>(Tabel_opvolging2023[[#This Row],[aantal opvolging procedure 2023]] * (Tabel_opvolging2023[[#This Row],[toeslag opvolging VdM II prc]]-$D$6)) + (Tabel_opvolging2023[[#This Row],[aantal opvolging advies 2023*]] * (Tabel_opvolging2023[[#This Row],[toeslag opvolging VdM II adv]]-$D$6))</f>
        <v>0</v>
      </c>
      <c r="T82" s="335">
        <f>Tabel_opvolging2023[[#This Row],[totaal extra punten t.o.v. huidige toeslag]] * tarief_huidig</f>
        <v>0</v>
      </c>
    </row>
    <row r="83" spans="2:20" x14ac:dyDescent="0.3">
      <c r="B83" s="328" t="s">
        <v>108</v>
      </c>
      <c r="C8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v>
      </c>
      <c r="D83" s="334">
        <f>IFERROR(INDEX(Tabel_forfaits[forfait VdM II voor berekening],MATCH(Tabel_opvolging2022[[#This Row],[Vaststelkategorie]],Tabel_forfaits[Zaakcode],0)), "n.v.t.")</f>
        <v>10</v>
      </c>
      <c r="E83" s="334">
        <f t="shared" si="2"/>
        <v>3</v>
      </c>
      <c r="F83" s="337">
        <f>SUMIFS(bron_opvolging[toeslag opvolging AV],bron_opvolging[Jaar Besluit Rel1 Vas Datum],"2022",bron_opvolging[Vaststelkategorie],Tabel_opvolging2022[[#This Row],[Vaststelkategorie]]) / $D$6</f>
        <v>0</v>
      </c>
      <c r="G83" s="334">
        <f>MIN($D$7,Tabel_opvolging2022[[#This Row],[forfait VdMII prc]])</f>
        <v>10</v>
      </c>
      <c r="H83" s="334">
        <f>IFERROR(ROUND(Tabel_opvolging2022[[#This Row],[forfait VdMII adv]]*$D$5,$D$8),  $D$6)</f>
        <v>3</v>
      </c>
      <c r="I83" s="337">
        <f>(Tabel_opvolging2022[[#This Row],[aantal opvolging pocedure 2022]] * (Tabel_opvolging2022[[#This Row],[toeslag opvolging VdM II prc]]-$D$6)) + (Tabel_opvolging2022[[#This Row],[aantal opvolging advies 2022*]] * (Tabel_opvolging2022[[#This Row],[toeslag opvolging VdM II adv]]-$D$6))</f>
        <v>4</v>
      </c>
      <c r="J83" s="335">
        <f>Tabel_opvolging2022[[#This Row],[totaal extra punten t.o.v. huidige toeslag]] * tarief_huidig</f>
        <v>612.50199999999995</v>
      </c>
      <c r="L83" s="328" t="s">
        <v>108</v>
      </c>
      <c r="M8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83" s="334">
        <f>IFERROR(INDEX(Tabel_forfaits[forfait VdM II voor berekening],MATCH(Tabel_opvolging2023[[#This Row],[Vaststelkategorie]],Tabel_forfaits[Zaakcode],0)), "n.v.t.")</f>
        <v>10</v>
      </c>
      <c r="O83" s="334">
        <f>IFERROR(ROUND(Tabel_opvolging2023[[#This Row],[forfait VdMII prc]]*$D$5,$D$8),  $D$6)</f>
        <v>3</v>
      </c>
      <c r="P83" s="334">
        <f>SUMIFS(bron_opvolging[toeslag opvolging AV],bron_opvolging[Jaar Besluit Rel1 Vas Datum],"2023",bron_opvolging[Vaststelkategorie],Tabel_opvolging2023[[#This Row],[Vaststelkategorie]]) / $D$6</f>
        <v>0</v>
      </c>
      <c r="Q83" s="334">
        <f>MIN($D$7,Tabel_opvolging2023[[#This Row],[forfait VdMII prc]])</f>
        <v>10</v>
      </c>
      <c r="R83" s="334">
        <f>IFERROR(ROUND(Tabel_opvolging2023[[#This Row],[forfait VdMII adv]]*$D$5,$D$8),  $D$6)</f>
        <v>3</v>
      </c>
      <c r="S83" s="334">
        <f>(Tabel_opvolging2023[[#This Row],[aantal opvolging procedure 2023]] * (Tabel_opvolging2023[[#This Row],[toeslag opvolging VdM II prc]]-$D$6)) + (Tabel_opvolging2023[[#This Row],[aantal opvolging advies 2023*]] * (Tabel_opvolging2023[[#This Row],[toeslag opvolging VdM II adv]]-$D$6))</f>
        <v>1</v>
      </c>
      <c r="T83" s="335">
        <f>Tabel_opvolging2023[[#This Row],[totaal extra punten t.o.v. huidige toeslag]] * tarief_huidig</f>
        <v>153.12549999999999</v>
      </c>
    </row>
    <row r="84" spans="2:20" x14ac:dyDescent="0.3">
      <c r="B84" s="328" t="s">
        <v>110</v>
      </c>
      <c r="C8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84" s="334">
        <f>IFERROR(INDEX(Tabel_forfaits[forfait VdM II voor berekening],MATCH(Tabel_opvolging2022[[#This Row],[Vaststelkategorie]],Tabel_forfaits[Zaakcode],0)), "n.v.t.")</f>
        <v>12</v>
      </c>
      <c r="E84" s="334">
        <f t="shared" si="2"/>
        <v>3</v>
      </c>
      <c r="F84" s="337">
        <f>SUMIFS(bron_opvolging[toeslag opvolging AV],bron_opvolging[Jaar Besluit Rel1 Vas Datum],"2022",bron_opvolging[Vaststelkategorie],Tabel_opvolging2022[[#This Row],[Vaststelkategorie]]) / $D$6</f>
        <v>0</v>
      </c>
      <c r="G84" s="334">
        <f>MIN($D$7,Tabel_opvolging2022[[#This Row],[forfait VdMII prc]])</f>
        <v>10</v>
      </c>
      <c r="H84" s="334">
        <f>IFERROR(ROUND(Tabel_opvolging2022[[#This Row],[forfait VdMII adv]]*$D$5,$D$8),  $D$6)</f>
        <v>3</v>
      </c>
      <c r="I84" s="337">
        <f>(Tabel_opvolging2022[[#This Row],[aantal opvolging pocedure 2022]] * (Tabel_opvolging2022[[#This Row],[toeslag opvolging VdM II prc]]-$D$6)) + (Tabel_opvolging2022[[#This Row],[aantal opvolging advies 2022*]] * (Tabel_opvolging2022[[#This Row],[toeslag opvolging VdM II adv]]-$D$6))</f>
        <v>3</v>
      </c>
      <c r="J84" s="335">
        <f>Tabel_opvolging2022[[#This Row],[totaal extra punten t.o.v. huidige toeslag]] * tarief_huidig</f>
        <v>459.37649999999996</v>
      </c>
      <c r="L84" s="328" t="s">
        <v>110</v>
      </c>
      <c r="M8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5</v>
      </c>
      <c r="N84" s="334">
        <f>IFERROR(INDEX(Tabel_forfaits[forfait VdM II voor berekening],MATCH(Tabel_opvolging2023[[#This Row],[Vaststelkategorie]],Tabel_forfaits[Zaakcode],0)), "n.v.t.")</f>
        <v>12</v>
      </c>
      <c r="O84" s="334">
        <f>IFERROR(ROUND(Tabel_opvolging2023[[#This Row],[forfait VdMII prc]]*$D$5,$D$8),  $D$6)</f>
        <v>3</v>
      </c>
      <c r="P84" s="334">
        <f>SUMIFS(bron_opvolging[toeslag opvolging AV],bron_opvolging[Jaar Besluit Rel1 Vas Datum],"2023",bron_opvolging[Vaststelkategorie],Tabel_opvolging2023[[#This Row],[Vaststelkategorie]]) / $D$6</f>
        <v>0</v>
      </c>
      <c r="Q84" s="334">
        <f>MIN($D$7,Tabel_opvolging2023[[#This Row],[forfait VdMII prc]])</f>
        <v>10</v>
      </c>
      <c r="R84" s="334">
        <f>IFERROR(ROUND(Tabel_opvolging2023[[#This Row],[forfait VdMII adv]]*$D$5,$D$8),  $D$6)</f>
        <v>3</v>
      </c>
      <c r="S84" s="334">
        <f>(Tabel_opvolging2023[[#This Row],[aantal opvolging procedure 2023]] * (Tabel_opvolging2023[[#This Row],[toeslag opvolging VdM II prc]]-$D$6)) + (Tabel_opvolging2023[[#This Row],[aantal opvolging advies 2023*]] * (Tabel_opvolging2023[[#This Row],[toeslag opvolging VdM II adv]]-$D$6))</f>
        <v>5</v>
      </c>
      <c r="T84" s="335">
        <f>Tabel_opvolging2023[[#This Row],[totaal extra punten t.o.v. huidige toeslag]] * tarief_huidig</f>
        <v>765.62749999999994</v>
      </c>
    </row>
    <row r="85" spans="2:20" x14ac:dyDescent="0.3">
      <c r="B85" s="328" t="s">
        <v>111</v>
      </c>
      <c r="C8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v>
      </c>
      <c r="D85" s="334">
        <f>IFERROR(INDEX(Tabel_forfaits[forfait VdM II voor berekening],MATCH(Tabel_opvolging2022[[#This Row],[Vaststelkategorie]],Tabel_forfaits[Zaakcode],0)), "n.v.t.")</f>
        <v>9</v>
      </c>
      <c r="E85" s="334">
        <f t="shared" si="2"/>
        <v>2</v>
      </c>
      <c r="F85" s="337">
        <f>SUMIFS(bron_opvolging[toeslag opvolging AV],bron_opvolging[Jaar Besluit Rel1 Vas Datum],"2022",bron_opvolging[Vaststelkategorie],Tabel_opvolging2022[[#This Row],[Vaststelkategorie]]) / $D$6</f>
        <v>0</v>
      </c>
      <c r="G85" s="334">
        <f>MIN($D$7,Tabel_opvolging2022[[#This Row],[forfait VdMII prc]])</f>
        <v>9</v>
      </c>
      <c r="H85" s="334">
        <f>IFERROR(ROUND(Tabel_opvolging2022[[#This Row],[forfait VdMII adv]]*$D$5,$D$8),  $D$6)</f>
        <v>2</v>
      </c>
      <c r="I85" s="337">
        <f>(Tabel_opvolging2022[[#This Row],[aantal opvolging pocedure 2022]] * (Tabel_opvolging2022[[#This Row],[toeslag opvolging VdM II prc]]-$D$6)) + (Tabel_opvolging2022[[#This Row],[aantal opvolging advies 2022*]] * (Tabel_opvolging2022[[#This Row],[toeslag opvolging VdM II adv]]-$D$6))</f>
        <v>0</v>
      </c>
      <c r="J85" s="335">
        <f>Tabel_opvolging2022[[#This Row],[totaal extra punten t.o.v. huidige toeslag]] * tarief_huidig</f>
        <v>0</v>
      </c>
      <c r="L85" s="328" t="s">
        <v>111</v>
      </c>
      <c r="M8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3</v>
      </c>
      <c r="N85" s="334">
        <f>IFERROR(INDEX(Tabel_forfaits[forfait VdM II voor berekening],MATCH(Tabel_opvolging2023[[#This Row],[Vaststelkategorie]],Tabel_forfaits[Zaakcode],0)), "n.v.t.")</f>
        <v>9</v>
      </c>
      <c r="O85" s="334">
        <f>IFERROR(ROUND(Tabel_opvolging2023[[#This Row],[forfait VdMII prc]]*$D$5,$D$8),  $D$6)</f>
        <v>2</v>
      </c>
      <c r="P85" s="334">
        <f>SUMIFS(bron_opvolging[toeslag opvolging AV],bron_opvolging[Jaar Besluit Rel1 Vas Datum],"2023",bron_opvolging[Vaststelkategorie],Tabel_opvolging2023[[#This Row],[Vaststelkategorie]]) / $D$6</f>
        <v>0</v>
      </c>
      <c r="Q85" s="334">
        <f>MIN($D$7,Tabel_opvolging2023[[#This Row],[forfait VdMII prc]])</f>
        <v>9</v>
      </c>
      <c r="R85" s="334">
        <f>IFERROR(ROUND(Tabel_opvolging2023[[#This Row],[forfait VdMII adv]]*$D$5,$D$8),  $D$6)</f>
        <v>2</v>
      </c>
      <c r="S85" s="334">
        <f>(Tabel_opvolging2023[[#This Row],[aantal opvolging procedure 2023]] * (Tabel_opvolging2023[[#This Row],[toeslag opvolging VdM II prc]]-$D$6)) + (Tabel_opvolging2023[[#This Row],[aantal opvolging advies 2023*]] * (Tabel_opvolging2023[[#This Row],[toeslag opvolging VdM II adv]]-$D$6))</f>
        <v>0</v>
      </c>
      <c r="T85" s="335">
        <f>Tabel_opvolging2023[[#This Row],[totaal extra punten t.o.v. huidige toeslag]] * tarief_huidig</f>
        <v>0</v>
      </c>
    </row>
    <row r="86" spans="2:20" x14ac:dyDescent="0.3">
      <c r="B86" s="328" t="s">
        <v>113</v>
      </c>
      <c r="C8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86" s="334">
        <f>IFERROR(INDEX(Tabel_forfaits[forfait VdM II voor berekening],MATCH(Tabel_opvolging2022[[#This Row],[Vaststelkategorie]],Tabel_forfaits[Zaakcode],0)), "n.v.t.")</f>
        <v>9</v>
      </c>
      <c r="E86" s="334">
        <f t="shared" si="2"/>
        <v>2</v>
      </c>
      <c r="F86" s="337">
        <f>SUMIFS(bron_opvolging[toeslag opvolging AV],bron_opvolging[Jaar Besluit Rel1 Vas Datum],"2022",bron_opvolging[Vaststelkategorie],Tabel_opvolging2022[[#This Row],[Vaststelkategorie]]) / $D$6</f>
        <v>0</v>
      </c>
      <c r="G86" s="334">
        <f>MIN($D$7,Tabel_opvolging2022[[#This Row],[forfait VdMII prc]])</f>
        <v>9</v>
      </c>
      <c r="H86" s="334">
        <f>IFERROR(ROUND(Tabel_opvolging2022[[#This Row],[forfait VdMII adv]]*$D$5,$D$8),  $D$6)</f>
        <v>2</v>
      </c>
      <c r="I86" s="337">
        <f>(Tabel_opvolging2022[[#This Row],[aantal opvolging pocedure 2022]] * (Tabel_opvolging2022[[#This Row],[toeslag opvolging VdM II prc]]-$D$6)) + (Tabel_opvolging2022[[#This Row],[aantal opvolging advies 2022*]] * (Tabel_opvolging2022[[#This Row],[toeslag opvolging VdM II adv]]-$D$6))</f>
        <v>0</v>
      </c>
      <c r="J86" s="335">
        <f>Tabel_opvolging2022[[#This Row],[totaal extra punten t.o.v. huidige toeslag]] * tarief_huidig</f>
        <v>0</v>
      </c>
      <c r="L86" s="328" t="s">
        <v>113</v>
      </c>
      <c r="M8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86" s="334">
        <f>IFERROR(INDEX(Tabel_forfaits[forfait VdM II voor berekening],MATCH(Tabel_opvolging2023[[#This Row],[Vaststelkategorie]],Tabel_forfaits[Zaakcode],0)), "n.v.t.")</f>
        <v>9</v>
      </c>
      <c r="O86" s="334">
        <f>IFERROR(ROUND(Tabel_opvolging2023[[#This Row],[forfait VdMII prc]]*$D$5,$D$8),  $D$6)</f>
        <v>2</v>
      </c>
      <c r="P86" s="334">
        <f>SUMIFS(bron_opvolging[toeslag opvolging AV],bron_opvolging[Jaar Besluit Rel1 Vas Datum],"2023",bron_opvolging[Vaststelkategorie],Tabel_opvolging2023[[#This Row],[Vaststelkategorie]]) / $D$6</f>
        <v>0</v>
      </c>
      <c r="Q86" s="334">
        <f>MIN($D$7,Tabel_opvolging2023[[#This Row],[forfait VdMII prc]])</f>
        <v>9</v>
      </c>
      <c r="R86" s="334">
        <f>IFERROR(ROUND(Tabel_opvolging2023[[#This Row],[forfait VdMII adv]]*$D$5,$D$8),  $D$6)</f>
        <v>2</v>
      </c>
      <c r="S86" s="334">
        <f>(Tabel_opvolging2023[[#This Row],[aantal opvolging procedure 2023]] * (Tabel_opvolging2023[[#This Row],[toeslag opvolging VdM II prc]]-$D$6)) + (Tabel_opvolging2023[[#This Row],[aantal opvolging advies 2023*]] * (Tabel_opvolging2023[[#This Row],[toeslag opvolging VdM II adv]]-$D$6))</f>
        <v>0</v>
      </c>
      <c r="T86" s="335">
        <f>Tabel_opvolging2023[[#This Row],[totaal extra punten t.o.v. huidige toeslag]] * tarief_huidig</f>
        <v>0</v>
      </c>
    </row>
    <row r="87" spans="2:20" x14ac:dyDescent="0.3">
      <c r="B87" s="328" t="s">
        <v>117</v>
      </c>
      <c r="C8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87" s="334">
        <f>IFERROR(INDEX(Tabel_forfaits[forfait VdM II voor berekening],MATCH(Tabel_opvolging2022[[#This Row],[Vaststelkategorie]],Tabel_forfaits[Zaakcode],0)), "n.v.t.")</f>
        <v>8</v>
      </c>
      <c r="E87" s="334">
        <f t="shared" si="2"/>
        <v>2</v>
      </c>
      <c r="F87" s="337">
        <f>SUMIFS(bron_opvolging[toeslag opvolging AV],bron_opvolging[Jaar Besluit Rel1 Vas Datum],"2022",bron_opvolging[Vaststelkategorie],Tabel_opvolging2022[[#This Row],[Vaststelkategorie]]) / $D$6</f>
        <v>0</v>
      </c>
      <c r="G87" s="334">
        <f>MIN($D$7,Tabel_opvolging2022[[#This Row],[forfait VdMII prc]])</f>
        <v>8</v>
      </c>
      <c r="H87" s="334">
        <f>IFERROR(ROUND(Tabel_opvolging2022[[#This Row],[forfait VdMII adv]]*$D$5,$D$8),  $D$6)</f>
        <v>2</v>
      </c>
      <c r="I87" s="337">
        <f>(Tabel_opvolging2022[[#This Row],[aantal opvolging pocedure 2022]] * (Tabel_opvolging2022[[#This Row],[toeslag opvolging VdM II prc]]-$D$6)) + (Tabel_opvolging2022[[#This Row],[aantal opvolging advies 2022*]] * (Tabel_opvolging2022[[#This Row],[toeslag opvolging VdM II adv]]-$D$6))</f>
        <v>0</v>
      </c>
      <c r="J87" s="335">
        <f>Tabel_opvolging2022[[#This Row],[totaal extra punten t.o.v. huidige toeslag]] * tarief_huidig</f>
        <v>0</v>
      </c>
      <c r="L87" s="328" t="s">
        <v>117</v>
      </c>
      <c r="M8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3</v>
      </c>
      <c r="N87" s="334">
        <f>IFERROR(INDEX(Tabel_forfaits[forfait VdM II voor berekening],MATCH(Tabel_opvolging2023[[#This Row],[Vaststelkategorie]],Tabel_forfaits[Zaakcode],0)), "n.v.t.")</f>
        <v>8</v>
      </c>
      <c r="O87" s="334">
        <f>IFERROR(ROUND(Tabel_opvolging2023[[#This Row],[forfait VdMII prc]]*$D$5,$D$8),  $D$6)</f>
        <v>2</v>
      </c>
      <c r="P87" s="334">
        <f>SUMIFS(bron_opvolging[toeslag opvolging AV],bron_opvolging[Jaar Besluit Rel1 Vas Datum],"2023",bron_opvolging[Vaststelkategorie],Tabel_opvolging2023[[#This Row],[Vaststelkategorie]]) / $D$6</f>
        <v>0</v>
      </c>
      <c r="Q87" s="334">
        <f>MIN($D$7,Tabel_opvolging2023[[#This Row],[forfait VdMII prc]])</f>
        <v>8</v>
      </c>
      <c r="R87" s="334">
        <f>IFERROR(ROUND(Tabel_opvolging2023[[#This Row],[forfait VdMII adv]]*$D$5,$D$8),  $D$6)</f>
        <v>2</v>
      </c>
      <c r="S87" s="334">
        <f>(Tabel_opvolging2023[[#This Row],[aantal opvolging procedure 2023]] * (Tabel_opvolging2023[[#This Row],[toeslag opvolging VdM II prc]]-$D$6)) + (Tabel_opvolging2023[[#This Row],[aantal opvolging advies 2023*]] * (Tabel_opvolging2023[[#This Row],[toeslag opvolging VdM II adv]]-$D$6))</f>
        <v>0</v>
      </c>
      <c r="T87" s="335">
        <f>Tabel_opvolging2023[[#This Row],[totaal extra punten t.o.v. huidige toeslag]] * tarief_huidig</f>
        <v>0</v>
      </c>
    </row>
    <row r="88" spans="2:20" x14ac:dyDescent="0.3">
      <c r="B88" s="328" t="s">
        <v>124</v>
      </c>
      <c r="C8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88" s="334">
        <f>IFERROR(INDEX(Tabel_forfaits[forfait VdM II voor berekening],MATCH(Tabel_opvolging2022[[#This Row],[Vaststelkategorie]],Tabel_forfaits[Zaakcode],0)), "n.v.t.")</f>
        <v>14</v>
      </c>
      <c r="E88" s="334">
        <f t="shared" si="2"/>
        <v>4</v>
      </c>
      <c r="F88" s="337">
        <f>SUMIFS(bron_opvolging[toeslag opvolging AV],bron_opvolging[Jaar Besluit Rel1 Vas Datum],"2022",bron_opvolging[Vaststelkategorie],Tabel_opvolging2022[[#This Row],[Vaststelkategorie]]) / $D$6</f>
        <v>0</v>
      </c>
      <c r="G88" s="334">
        <f>MIN($D$7,Tabel_opvolging2022[[#This Row],[forfait VdMII prc]])</f>
        <v>10</v>
      </c>
      <c r="H88" s="334">
        <f>IFERROR(ROUND(Tabel_opvolging2022[[#This Row],[forfait VdMII adv]]*$D$5,$D$8),  $D$6)</f>
        <v>3</v>
      </c>
      <c r="I88" s="337">
        <f>(Tabel_opvolging2022[[#This Row],[aantal opvolging pocedure 2022]] * (Tabel_opvolging2022[[#This Row],[toeslag opvolging VdM II prc]]-$D$6)) + (Tabel_opvolging2022[[#This Row],[aantal opvolging advies 2022*]] * (Tabel_opvolging2022[[#This Row],[toeslag opvolging VdM II adv]]-$D$6))</f>
        <v>6</v>
      </c>
      <c r="J88" s="335">
        <f>Tabel_opvolging2022[[#This Row],[totaal extra punten t.o.v. huidige toeslag]] * tarief_huidig</f>
        <v>918.75299999999993</v>
      </c>
      <c r="L88" s="328" t="s">
        <v>124</v>
      </c>
      <c r="M8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88" s="334">
        <f>IFERROR(INDEX(Tabel_forfaits[forfait VdM II voor berekening],MATCH(Tabel_opvolging2023[[#This Row],[Vaststelkategorie]],Tabel_forfaits[Zaakcode],0)), "n.v.t.")</f>
        <v>14</v>
      </c>
      <c r="O88" s="334">
        <f>IFERROR(ROUND(Tabel_opvolging2023[[#This Row],[forfait VdMII prc]]*$D$5,$D$8),  $D$6)</f>
        <v>4</v>
      </c>
      <c r="P88" s="334">
        <f>SUMIFS(bron_opvolging[toeslag opvolging AV],bron_opvolging[Jaar Besluit Rel1 Vas Datum],"2023",bron_opvolging[Vaststelkategorie],Tabel_opvolging2023[[#This Row],[Vaststelkategorie]]) / $D$6</f>
        <v>1</v>
      </c>
      <c r="Q88" s="334">
        <f>MIN($D$7,Tabel_opvolging2023[[#This Row],[forfait VdMII prc]])</f>
        <v>10</v>
      </c>
      <c r="R88" s="334">
        <f>IFERROR(ROUND(Tabel_opvolging2023[[#This Row],[forfait VdMII adv]]*$D$5,$D$8),  $D$6)</f>
        <v>3</v>
      </c>
      <c r="S88" s="334">
        <f>(Tabel_opvolging2023[[#This Row],[aantal opvolging procedure 2023]] * (Tabel_opvolging2023[[#This Row],[toeslag opvolging VdM II prc]]-$D$6)) + (Tabel_opvolging2023[[#This Row],[aantal opvolging advies 2023*]] * (Tabel_opvolging2023[[#This Row],[toeslag opvolging VdM II adv]]-$D$6))</f>
        <v>9</v>
      </c>
      <c r="T88" s="335">
        <f>Tabel_opvolging2023[[#This Row],[totaal extra punten t.o.v. huidige toeslag]] * tarief_huidig</f>
        <v>1378.1295</v>
      </c>
    </row>
    <row r="89" spans="2:20" x14ac:dyDescent="0.3">
      <c r="B89" s="328" t="s">
        <v>125</v>
      </c>
      <c r="C8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89" s="334">
        <f>IFERROR(INDEX(Tabel_forfaits[forfait VdM II voor berekening],MATCH(Tabel_opvolging2022[[#This Row],[Vaststelkategorie]],Tabel_forfaits[Zaakcode],0)), "n.v.t.")</f>
        <v>11</v>
      </c>
      <c r="E89" s="334">
        <f t="shared" si="2"/>
        <v>3</v>
      </c>
      <c r="F89" s="337">
        <f>SUMIFS(bron_opvolging[toeslag opvolging AV],bron_opvolging[Jaar Besluit Rel1 Vas Datum],"2022",bron_opvolging[Vaststelkategorie],Tabel_opvolging2022[[#This Row],[Vaststelkategorie]]) / $D$6</f>
        <v>1</v>
      </c>
      <c r="G89" s="334">
        <f>MIN($D$7,Tabel_opvolging2022[[#This Row],[forfait VdMII prc]])</f>
        <v>10</v>
      </c>
      <c r="H89" s="334">
        <f>IFERROR(ROUND(Tabel_opvolging2022[[#This Row],[forfait VdMII adv]]*$D$5,$D$8),  $D$6)</f>
        <v>3</v>
      </c>
      <c r="I89" s="337">
        <f>(Tabel_opvolging2022[[#This Row],[aantal opvolging pocedure 2022]] * (Tabel_opvolging2022[[#This Row],[toeslag opvolging VdM II prc]]-$D$6)) + (Tabel_opvolging2022[[#This Row],[aantal opvolging advies 2022*]] * (Tabel_opvolging2022[[#This Row],[toeslag opvolging VdM II adv]]-$D$6))</f>
        <v>1</v>
      </c>
      <c r="J89" s="335">
        <f>Tabel_opvolging2022[[#This Row],[totaal extra punten t.o.v. huidige toeslag]] * tarief_huidig</f>
        <v>153.12549999999999</v>
      </c>
      <c r="L89" s="328" t="s">
        <v>125</v>
      </c>
      <c r="M8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89" s="334">
        <f>IFERROR(INDEX(Tabel_forfaits[forfait VdM II voor berekening],MATCH(Tabel_opvolging2023[[#This Row],[Vaststelkategorie]],Tabel_forfaits[Zaakcode],0)), "n.v.t.")</f>
        <v>11</v>
      </c>
      <c r="O89" s="334">
        <f>IFERROR(ROUND(Tabel_opvolging2023[[#This Row],[forfait VdMII prc]]*$D$5,$D$8),  $D$6)</f>
        <v>3</v>
      </c>
      <c r="P89" s="334">
        <f>SUMIFS(bron_opvolging[toeslag opvolging AV],bron_opvolging[Jaar Besluit Rel1 Vas Datum],"2023",bron_opvolging[Vaststelkategorie],Tabel_opvolging2023[[#This Row],[Vaststelkategorie]]) / $D$6</f>
        <v>4</v>
      </c>
      <c r="Q89" s="334">
        <f>MIN($D$7,Tabel_opvolging2023[[#This Row],[forfait VdMII prc]])</f>
        <v>10</v>
      </c>
      <c r="R89" s="334">
        <f>IFERROR(ROUND(Tabel_opvolging2023[[#This Row],[forfait VdMII adv]]*$D$5,$D$8),  $D$6)</f>
        <v>3</v>
      </c>
      <c r="S89" s="334">
        <f>(Tabel_opvolging2023[[#This Row],[aantal opvolging procedure 2023]] * (Tabel_opvolging2023[[#This Row],[toeslag opvolging VdM II prc]]-$D$6)) + (Tabel_opvolging2023[[#This Row],[aantal opvolging advies 2023*]] * (Tabel_opvolging2023[[#This Row],[toeslag opvolging VdM II adv]]-$D$6))</f>
        <v>6</v>
      </c>
      <c r="T89" s="335">
        <f>Tabel_opvolging2023[[#This Row],[totaal extra punten t.o.v. huidige toeslag]] * tarief_huidig</f>
        <v>918.75299999999993</v>
      </c>
    </row>
    <row r="90" spans="2:20" x14ac:dyDescent="0.3">
      <c r="B90" s="328" t="s">
        <v>126</v>
      </c>
      <c r="C9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v>
      </c>
      <c r="D90" s="334">
        <f>IFERROR(INDEX(Tabel_forfaits[forfait VdM II voor berekening],MATCH(Tabel_opvolging2022[[#This Row],[Vaststelkategorie]],Tabel_forfaits[Zaakcode],0)), "n.v.t.")</f>
        <v>10</v>
      </c>
      <c r="E90" s="334">
        <f t="shared" si="2"/>
        <v>3</v>
      </c>
      <c r="F90" s="337">
        <f>SUMIFS(bron_opvolging[toeslag opvolging AV],bron_opvolging[Jaar Besluit Rel1 Vas Datum],"2022",bron_opvolging[Vaststelkategorie],Tabel_opvolging2022[[#This Row],[Vaststelkategorie]]) / $D$6</f>
        <v>0</v>
      </c>
      <c r="G90" s="334">
        <f>MIN($D$7,Tabel_opvolging2022[[#This Row],[forfait VdMII prc]])</f>
        <v>10</v>
      </c>
      <c r="H90" s="334">
        <f>IFERROR(ROUND(Tabel_opvolging2022[[#This Row],[forfait VdMII adv]]*$D$5,$D$8),  $D$6)</f>
        <v>3</v>
      </c>
      <c r="I90" s="337">
        <f>(Tabel_opvolging2022[[#This Row],[aantal opvolging pocedure 2022]] * (Tabel_opvolging2022[[#This Row],[toeslag opvolging VdM II prc]]-$D$6)) + (Tabel_opvolging2022[[#This Row],[aantal opvolging advies 2022*]] * (Tabel_opvolging2022[[#This Row],[toeslag opvolging VdM II adv]]-$D$6))</f>
        <v>4</v>
      </c>
      <c r="J90" s="335">
        <f>Tabel_opvolging2022[[#This Row],[totaal extra punten t.o.v. huidige toeslag]] * tarief_huidig</f>
        <v>612.50199999999995</v>
      </c>
      <c r="L90" s="328" t="s">
        <v>126</v>
      </c>
      <c r="M9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7</v>
      </c>
      <c r="N90" s="334">
        <f>IFERROR(INDEX(Tabel_forfaits[forfait VdM II voor berekening],MATCH(Tabel_opvolging2023[[#This Row],[Vaststelkategorie]],Tabel_forfaits[Zaakcode],0)), "n.v.t.")</f>
        <v>10</v>
      </c>
      <c r="O90" s="334">
        <f>IFERROR(ROUND(Tabel_opvolging2023[[#This Row],[forfait VdMII prc]]*$D$5,$D$8),  $D$6)</f>
        <v>3</v>
      </c>
      <c r="P90" s="334">
        <f>SUMIFS(bron_opvolging[toeslag opvolging AV],bron_opvolging[Jaar Besluit Rel1 Vas Datum],"2023",bron_opvolging[Vaststelkategorie],Tabel_opvolging2023[[#This Row],[Vaststelkategorie]]) / $D$6</f>
        <v>0</v>
      </c>
      <c r="Q90" s="334">
        <f>MIN($D$7,Tabel_opvolging2023[[#This Row],[forfait VdMII prc]])</f>
        <v>10</v>
      </c>
      <c r="R90" s="334">
        <f>IFERROR(ROUND(Tabel_opvolging2023[[#This Row],[forfait VdMII adv]]*$D$5,$D$8),  $D$6)</f>
        <v>3</v>
      </c>
      <c r="S90" s="334">
        <f>(Tabel_opvolging2023[[#This Row],[aantal opvolging procedure 2023]] * (Tabel_opvolging2023[[#This Row],[toeslag opvolging VdM II prc]]-$D$6)) + (Tabel_opvolging2023[[#This Row],[aantal opvolging advies 2023*]] * (Tabel_opvolging2023[[#This Row],[toeslag opvolging VdM II adv]]-$D$6))</f>
        <v>7</v>
      </c>
      <c r="T90" s="335">
        <f>Tabel_opvolging2023[[#This Row],[totaal extra punten t.o.v. huidige toeslag]] * tarief_huidig</f>
        <v>1071.8784999999998</v>
      </c>
    </row>
    <row r="91" spans="2:20" x14ac:dyDescent="0.3">
      <c r="B91" s="328" t="s">
        <v>127</v>
      </c>
      <c r="C9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158</v>
      </c>
      <c r="D91" s="334">
        <f>IFERROR(INDEX(Tabel_forfaits[forfait VdM II voor berekening],MATCH(Tabel_opvolging2022[[#This Row],[Vaststelkategorie]],Tabel_forfaits[Zaakcode],0)), "n.v.t.")</f>
        <v>9</v>
      </c>
      <c r="E91" s="334">
        <f t="shared" si="2"/>
        <v>2</v>
      </c>
      <c r="F91" s="337">
        <f>SUMIFS(bron_opvolging[toeslag opvolging AV],bron_opvolging[Jaar Besluit Rel1 Vas Datum],"2022",bron_opvolging[Vaststelkategorie],Tabel_opvolging2022[[#This Row],[Vaststelkategorie]]) / $D$6</f>
        <v>0</v>
      </c>
      <c r="G91" s="334">
        <f>MIN($D$7,Tabel_opvolging2022[[#This Row],[forfait VdMII prc]])</f>
        <v>9</v>
      </c>
      <c r="H91" s="334">
        <f>IFERROR(ROUND(Tabel_opvolging2022[[#This Row],[forfait VdMII adv]]*$D$5,$D$8),  $D$6)</f>
        <v>2</v>
      </c>
      <c r="I91" s="337">
        <f>(Tabel_opvolging2022[[#This Row],[aantal opvolging pocedure 2022]] * (Tabel_opvolging2022[[#This Row],[toeslag opvolging VdM II prc]]-$D$6)) + (Tabel_opvolging2022[[#This Row],[aantal opvolging advies 2022*]] * (Tabel_opvolging2022[[#This Row],[toeslag opvolging VdM II adv]]-$D$6))</f>
        <v>0</v>
      </c>
      <c r="J91" s="335">
        <f>Tabel_opvolging2022[[#This Row],[totaal extra punten t.o.v. huidige toeslag]] * tarief_huidig</f>
        <v>0</v>
      </c>
      <c r="L91" s="328" t="s">
        <v>127</v>
      </c>
      <c r="M9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152</v>
      </c>
      <c r="N91" s="334">
        <f>IFERROR(INDEX(Tabel_forfaits[forfait VdM II voor berekening],MATCH(Tabel_opvolging2023[[#This Row],[Vaststelkategorie]],Tabel_forfaits[Zaakcode],0)), "n.v.t.")</f>
        <v>9</v>
      </c>
      <c r="O91" s="334">
        <f>IFERROR(ROUND(Tabel_opvolging2023[[#This Row],[forfait VdMII prc]]*$D$5,$D$8),  $D$6)</f>
        <v>2</v>
      </c>
      <c r="P91" s="334">
        <f>SUMIFS(bron_opvolging[toeslag opvolging AV],bron_opvolging[Jaar Besluit Rel1 Vas Datum],"2023",bron_opvolging[Vaststelkategorie],Tabel_opvolging2023[[#This Row],[Vaststelkategorie]]) / $D$6</f>
        <v>0</v>
      </c>
      <c r="Q91" s="334">
        <f>MIN($D$7,Tabel_opvolging2023[[#This Row],[forfait VdMII prc]])</f>
        <v>9</v>
      </c>
      <c r="R91" s="334">
        <f>IFERROR(ROUND(Tabel_opvolging2023[[#This Row],[forfait VdMII adv]]*$D$5,$D$8),  $D$6)</f>
        <v>2</v>
      </c>
      <c r="S91" s="334">
        <f>(Tabel_opvolging2023[[#This Row],[aantal opvolging procedure 2023]] * (Tabel_opvolging2023[[#This Row],[toeslag opvolging VdM II prc]]-$D$6)) + (Tabel_opvolging2023[[#This Row],[aantal opvolging advies 2023*]] * (Tabel_opvolging2023[[#This Row],[toeslag opvolging VdM II adv]]-$D$6))</f>
        <v>0</v>
      </c>
      <c r="T91" s="335">
        <f>Tabel_opvolging2023[[#This Row],[totaal extra punten t.o.v. huidige toeslag]] * tarief_huidig</f>
        <v>0</v>
      </c>
    </row>
    <row r="92" spans="2:20" x14ac:dyDescent="0.3">
      <c r="B92" s="328" t="s">
        <v>128</v>
      </c>
      <c r="C9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21</v>
      </c>
      <c r="D92" s="334" t="str">
        <f>IFERROR(INDEX(Tabel_forfaits[forfait VdM II voor berekening],MATCH(Tabel_opvolging2022[[#This Row],[Vaststelkategorie]],Tabel_forfaits[Zaakcode],0)), "n.v.t.")</f>
        <v>n.v.t.</v>
      </c>
      <c r="E92" s="334">
        <f t="shared" si="2"/>
        <v>2</v>
      </c>
      <c r="F92" s="337">
        <f>SUMIFS(bron_opvolging[toeslag opvolging AV],bron_opvolging[Jaar Besluit Rel1 Vas Datum],"2022",bron_opvolging[Vaststelkategorie],Tabel_opvolging2022[[#This Row],[Vaststelkategorie]]) / $D$6</f>
        <v>0</v>
      </c>
      <c r="G92" s="334">
        <f>MIN($D$7,Tabel_opvolging2022[[#This Row],[forfait VdMII prc]])</f>
        <v>10</v>
      </c>
      <c r="H92" s="334">
        <f>IFERROR(ROUND(Tabel_opvolging2022[[#This Row],[forfait VdMII adv]]*$D$5,$D$8),  $D$6)</f>
        <v>3</v>
      </c>
      <c r="I92" s="337">
        <f>(Tabel_opvolging2022[[#This Row],[aantal opvolging pocedure 2022]] * (Tabel_opvolging2022[[#This Row],[toeslag opvolging VdM II prc]]-$D$6)) + (Tabel_opvolging2022[[#This Row],[aantal opvolging advies 2022*]] * (Tabel_opvolging2022[[#This Row],[toeslag opvolging VdM II adv]]-$D$6))</f>
        <v>0</v>
      </c>
      <c r="J92" s="335">
        <f>Tabel_opvolging2022[[#This Row],[totaal extra punten t.o.v. huidige toeslag]] * tarief_huidig</f>
        <v>0</v>
      </c>
      <c r="L92" s="328" t="s">
        <v>128</v>
      </c>
      <c r="M9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14</v>
      </c>
      <c r="N92" s="334" t="str">
        <f>IFERROR(INDEX(Tabel_forfaits[forfait VdM II voor berekening],MATCH(Tabel_opvolging2023[[#This Row],[Vaststelkategorie]],Tabel_forfaits[Zaakcode],0)), "n.v.t.")</f>
        <v>n.v.t.</v>
      </c>
      <c r="O92" s="334">
        <f>IFERROR(ROUND(Tabel_opvolging2023[[#This Row],[forfait VdMII prc]]*$D$5,$D$8),  $D$6)</f>
        <v>2</v>
      </c>
      <c r="P92" s="334">
        <f>SUMIFS(bron_opvolging[toeslag opvolging AV],bron_opvolging[Jaar Besluit Rel1 Vas Datum],"2023",bron_opvolging[Vaststelkategorie],Tabel_opvolging2023[[#This Row],[Vaststelkategorie]]) / $D$6</f>
        <v>0</v>
      </c>
      <c r="Q92" s="334">
        <f>MIN($D$7,Tabel_opvolging2023[[#This Row],[forfait VdMII prc]])</f>
        <v>10</v>
      </c>
      <c r="R92" s="334">
        <f>IFERROR(ROUND(Tabel_opvolging2023[[#This Row],[forfait VdMII adv]]*$D$5,$D$8),  $D$6)</f>
        <v>3</v>
      </c>
      <c r="S92" s="334">
        <f>(Tabel_opvolging2023[[#This Row],[aantal opvolging procedure 2023]] * (Tabel_opvolging2023[[#This Row],[toeslag opvolging VdM II prc]]-$D$6)) + (Tabel_opvolging2023[[#This Row],[aantal opvolging advies 2023*]] * (Tabel_opvolging2023[[#This Row],[toeslag opvolging VdM II adv]]-$D$6))</f>
        <v>0</v>
      </c>
      <c r="T92" s="335">
        <f>Tabel_opvolging2023[[#This Row],[totaal extra punten t.o.v. huidige toeslag]] * tarief_huidig</f>
        <v>0</v>
      </c>
    </row>
    <row r="93" spans="2:20" x14ac:dyDescent="0.3">
      <c r="B93" s="328" t="s">
        <v>129</v>
      </c>
      <c r="C9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181</v>
      </c>
      <c r="D93" s="334">
        <f>IFERROR(INDEX(Tabel_forfaits[forfait VdM II voor berekening],MATCH(Tabel_opvolging2022[[#This Row],[Vaststelkategorie]],Tabel_forfaits[Zaakcode],0)), "n.v.t.")</f>
        <v>4</v>
      </c>
      <c r="E93" s="334">
        <f t="shared" si="2"/>
        <v>1</v>
      </c>
      <c r="F93" s="337">
        <f>SUMIFS(bron_opvolging[toeslag opvolging AV],bron_opvolging[Jaar Besluit Rel1 Vas Datum],"2022",bron_opvolging[Vaststelkategorie],Tabel_opvolging2022[[#This Row],[Vaststelkategorie]]) / $D$6</f>
        <v>0</v>
      </c>
      <c r="G93" s="334">
        <f>MIN($D$7,Tabel_opvolging2022[[#This Row],[forfait VdMII prc]])</f>
        <v>4</v>
      </c>
      <c r="H93" s="334">
        <f>IFERROR(ROUND(Tabel_opvolging2022[[#This Row],[forfait VdMII adv]]*$D$5,$D$8),  $D$6)</f>
        <v>1</v>
      </c>
      <c r="I93" s="337">
        <f>(Tabel_opvolging2022[[#This Row],[aantal opvolging pocedure 2022]] * (Tabel_opvolging2022[[#This Row],[toeslag opvolging VdM II prc]]-$D$6)) + (Tabel_opvolging2022[[#This Row],[aantal opvolging advies 2022*]] * (Tabel_opvolging2022[[#This Row],[toeslag opvolging VdM II adv]]-$D$6))</f>
        <v>-181</v>
      </c>
      <c r="J93" s="335">
        <f>Tabel_opvolging2022[[#This Row],[totaal extra punten t.o.v. huidige toeslag]] * tarief_huidig</f>
        <v>-27715.715499999998</v>
      </c>
      <c r="L93" s="328" t="s">
        <v>129</v>
      </c>
      <c r="M9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225</v>
      </c>
      <c r="N93" s="334">
        <f>IFERROR(INDEX(Tabel_forfaits[forfait VdM II voor berekening],MATCH(Tabel_opvolging2023[[#This Row],[Vaststelkategorie]],Tabel_forfaits[Zaakcode],0)), "n.v.t.")</f>
        <v>4</v>
      </c>
      <c r="O93" s="334">
        <f>IFERROR(ROUND(Tabel_opvolging2023[[#This Row],[forfait VdMII prc]]*$D$5,$D$8),  $D$6)</f>
        <v>1</v>
      </c>
      <c r="P93" s="334">
        <f>SUMIFS(bron_opvolging[toeslag opvolging AV],bron_opvolging[Jaar Besluit Rel1 Vas Datum],"2023",bron_opvolging[Vaststelkategorie],Tabel_opvolging2023[[#This Row],[Vaststelkategorie]]) / $D$6</f>
        <v>0</v>
      </c>
      <c r="Q93" s="334">
        <f>MIN($D$7,Tabel_opvolging2023[[#This Row],[forfait VdMII prc]])</f>
        <v>4</v>
      </c>
      <c r="R93" s="334">
        <f>IFERROR(ROUND(Tabel_opvolging2023[[#This Row],[forfait VdMII adv]]*$D$5,$D$8),  $D$6)</f>
        <v>1</v>
      </c>
      <c r="S93" s="334">
        <f>(Tabel_opvolging2023[[#This Row],[aantal opvolging procedure 2023]] * (Tabel_opvolging2023[[#This Row],[toeslag opvolging VdM II prc]]-$D$6)) + (Tabel_opvolging2023[[#This Row],[aantal opvolging advies 2023*]] * (Tabel_opvolging2023[[#This Row],[toeslag opvolging VdM II adv]]-$D$6))</f>
        <v>-225</v>
      </c>
      <c r="T93" s="335">
        <f>Tabel_opvolging2023[[#This Row],[totaal extra punten t.o.v. huidige toeslag]] * tarief_huidig</f>
        <v>-34453.237499999996</v>
      </c>
    </row>
    <row r="94" spans="2:20" x14ac:dyDescent="0.3">
      <c r="B94" s="328" t="s">
        <v>130</v>
      </c>
      <c r="C9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187</v>
      </c>
      <c r="D94" s="334">
        <f>IFERROR(INDEX(Tabel_forfaits[forfait VdM II voor berekening],MATCH(Tabel_opvolging2022[[#This Row],[Vaststelkategorie]],Tabel_forfaits[Zaakcode],0)), "n.v.t.")</f>
        <v>5</v>
      </c>
      <c r="E94" s="334">
        <f t="shared" si="2"/>
        <v>1</v>
      </c>
      <c r="F94" s="337">
        <f>SUMIFS(bron_opvolging[toeslag opvolging AV],bron_opvolging[Jaar Besluit Rel1 Vas Datum],"2022",bron_opvolging[Vaststelkategorie],Tabel_opvolging2022[[#This Row],[Vaststelkategorie]]) / $D$6</f>
        <v>0</v>
      </c>
      <c r="G94" s="334">
        <f>MIN($D$7,Tabel_opvolging2022[[#This Row],[forfait VdMII prc]])</f>
        <v>5</v>
      </c>
      <c r="H94" s="334">
        <f>IFERROR(ROUND(Tabel_opvolging2022[[#This Row],[forfait VdMII adv]]*$D$5,$D$8),  $D$6)</f>
        <v>1</v>
      </c>
      <c r="I94" s="337">
        <f>(Tabel_opvolging2022[[#This Row],[aantal opvolging pocedure 2022]] * (Tabel_opvolging2022[[#This Row],[toeslag opvolging VdM II prc]]-$D$6)) + (Tabel_opvolging2022[[#This Row],[aantal opvolging advies 2022*]] * (Tabel_opvolging2022[[#This Row],[toeslag opvolging VdM II adv]]-$D$6))</f>
        <v>-187</v>
      </c>
      <c r="J94" s="335">
        <f>Tabel_opvolging2022[[#This Row],[totaal extra punten t.o.v. huidige toeslag]] * tarief_huidig</f>
        <v>-28634.468499999999</v>
      </c>
      <c r="L94" s="328" t="s">
        <v>130</v>
      </c>
      <c r="M9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200</v>
      </c>
      <c r="N94" s="334">
        <f>IFERROR(INDEX(Tabel_forfaits[forfait VdM II voor berekening],MATCH(Tabel_opvolging2023[[#This Row],[Vaststelkategorie]],Tabel_forfaits[Zaakcode],0)), "n.v.t.")</f>
        <v>5</v>
      </c>
      <c r="O94" s="334">
        <f>IFERROR(ROUND(Tabel_opvolging2023[[#This Row],[forfait VdMII prc]]*$D$5,$D$8),  $D$6)</f>
        <v>1</v>
      </c>
      <c r="P94" s="334">
        <f>SUMIFS(bron_opvolging[toeslag opvolging AV],bron_opvolging[Jaar Besluit Rel1 Vas Datum],"2023",bron_opvolging[Vaststelkategorie],Tabel_opvolging2023[[#This Row],[Vaststelkategorie]]) / $D$6</f>
        <v>0</v>
      </c>
      <c r="Q94" s="334">
        <f>MIN($D$7,Tabel_opvolging2023[[#This Row],[forfait VdMII prc]])</f>
        <v>5</v>
      </c>
      <c r="R94" s="334">
        <f>IFERROR(ROUND(Tabel_opvolging2023[[#This Row],[forfait VdMII adv]]*$D$5,$D$8),  $D$6)</f>
        <v>1</v>
      </c>
      <c r="S94" s="334">
        <f>(Tabel_opvolging2023[[#This Row],[aantal opvolging procedure 2023]] * (Tabel_opvolging2023[[#This Row],[toeslag opvolging VdM II prc]]-$D$6)) + (Tabel_opvolging2023[[#This Row],[aantal opvolging advies 2023*]] * (Tabel_opvolging2023[[#This Row],[toeslag opvolging VdM II adv]]-$D$6))</f>
        <v>-200</v>
      </c>
      <c r="T94" s="335">
        <f>Tabel_opvolging2023[[#This Row],[totaal extra punten t.o.v. huidige toeslag]] * tarief_huidig</f>
        <v>-30625.1</v>
      </c>
    </row>
    <row r="95" spans="2:20" x14ac:dyDescent="0.3">
      <c r="B95" s="328" t="s">
        <v>131</v>
      </c>
      <c r="C9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111</v>
      </c>
      <c r="D95" s="334">
        <f>IFERROR(INDEX(Tabel_forfaits[forfait VdM II voor berekening],MATCH(Tabel_opvolging2022[[#This Row],[Vaststelkategorie]],Tabel_forfaits[Zaakcode],0)), "n.v.t.")</f>
        <v>5</v>
      </c>
      <c r="E95" s="334">
        <f t="shared" si="2"/>
        <v>1</v>
      </c>
      <c r="F95" s="337">
        <f>SUMIFS(bron_opvolging[toeslag opvolging AV],bron_opvolging[Jaar Besluit Rel1 Vas Datum],"2022",bron_opvolging[Vaststelkategorie],Tabel_opvolging2022[[#This Row],[Vaststelkategorie]]) / $D$6</f>
        <v>0</v>
      </c>
      <c r="G95" s="334">
        <f>MIN($D$7,Tabel_opvolging2022[[#This Row],[forfait VdMII prc]])</f>
        <v>5</v>
      </c>
      <c r="H95" s="334">
        <f>IFERROR(ROUND(Tabel_opvolging2022[[#This Row],[forfait VdMII adv]]*$D$5,$D$8),  $D$6)</f>
        <v>1</v>
      </c>
      <c r="I95" s="337">
        <f>(Tabel_opvolging2022[[#This Row],[aantal opvolging pocedure 2022]] * (Tabel_opvolging2022[[#This Row],[toeslag opvolging VdM II prc]]-$D$6)) + (Tabel_opvolging2022[[#This Row],[aantal opvolging advies 2022*]] * (Tabel_opvolging2022[[#This Row],[toeslag opvolging VdM II adv]]-$D$6))</f>
        <v>-111</v>
      </c>
      <c r="J95" s="335">
        <f>Tabel_opvolging2022[[#This Row],[totaal extra punten t.o.v. huidige toeslag]] * tarief_huidig</f>
        <v>-16996.930499999999</v>
      </c>
      <c r="L95" s="328" t="s">
        <v>131</v>
      </c>
      <c r="M9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110</v>
      </c>
      <c r="N95" s="334">
        <f>IFERROR(INDEX(Tabel_forfaits[forfait VdM II voor berekening],MATCH(Tabel_opvolging2023[[#This Row],[Vaststelkategorie]],Tabel_forfaits[Zaakcode],0)), "n.v.t.")</f>
        <v>5</v>
      </c>
      <c r="O95" s="334">
        <f>IFERROR(ROUND(Tabel_opvolging2023[[#This Row],[forfait VdMII prc]]*$D$5,$D$8),  $D$6)</f>
        <v>1</v>
      </c>
      <c r="P95" s="334">
        <f>SUMIFS(bron_opvolging[toeslag opvolging AV],bron_opvolging[Jaar Besluit Rel1 Vas Datum],"2023",bron_opvolging[Vaststelkategorie],Tabel_opvolging2023[[#This Row],[Vaststelkategorie]]) / $D$6</f>
        <v>0</v>
      </c>
      <c r="Q95" s="334">
        <f>MIN($D$7,Tabel_opvolging2023[[#This Row],[forfait VdMII prc]])</f>
        <v>5</v>
      </c>
      <c r="R95" s="334">
        <f>IFERROR(ROUND(Tabel_opvolging2023[[#This Row],[forfait VdMII adv]]*$D$5,$D$8),  $D$6)</f>
        <v>1</v>
      </c>
      <c r="S95" s="334">
        <f>(Tabel_opvolging2023[[#This Row],[aantal opvolging procedure 2023]] * (Tabel_opvolging2023[[#This Row],[toeslag opvolging VdM II prc]]-$D$6)) + (Tabel_opvolging2023[[#This Row],[aantal opvolging advies 2023*]] * (Tabel_opvolging2023[[#This Row],[toeslag opvolging VdM II adv]]-$D$6))</f>
        <v>-110</v>
      </c>
      <c r="T95" s="335">
        <f>Tabel_opvolging2023[[#This Row],[totaal extra punten t.o.v. huidige toeslag]] * tarief_huidig</f>
        <v>-16843.805</v>
      </c>
    </row>
    <row r="96" spans="2:20" x14ac:dyDescent="0.3">
      <c r="B96" s="328" t="s">
        <v>132</v>
      </c>
      <c r="C9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76</v>
      </c>
      <c r="D96" s="334">
        <f>IFERROR(INDEX(Tabel_forfaits[forfait VdM II voor berekening],MATCH(Tabel_opvolging2022[[#This Row],[Vaststelkategorie]],Tabel_forfaits[Zaakcode],0)), "n.v.t.")</f>
        <v>11</v>
      </c>
      <c r="E96" s="334">
        <f t="shared" si="2"/>
        <v>3</v>
      </c>
      <c r="F96" s="337">
        <f>SUMIFS(bron_opvolging[toeslag opvolging AV],bron_opvolging[Jaar Besluit Rel1 Vas Datum],"2022",bron_opvolging[Vaststelkategorie],Tabel_opvolging2022[[#This Row],[Vaststelkategorie]]) / $D$6</f>
        <v>0</v>
      </c>
      <c r="G96" s="334">
        <f>MIN($D$7,Tabel_opvolging2022[[#This Row],[forfait VdMII prc]])</f>
        <v>10</v>
      </c>
      <c r="H96" s="334">
        <f>IFERROR(ROUND(Tabel_opvolging2022[[#This Row],[forfait VdMII adv]]*$D$5,$D$8),  $D$6)</f>
        <v>3</v>
      </c>
      <c r="I96" s="337">
        <f>(Tabel_opvolging2022[[#This Row],[aantal opvolging pocedure 2022]] * (Tabel_opvolging2022[[#This Row],[toeslag opvolging VdM II prc]]-$D$6)) + (Tabel_opvolging2022[[#This Row],[aantal opvolging advies 2022*]] * (Tabel_opvolging2022[[#This Row],[toeslag opvolging VdM II adv]]-$D$6))</f>
        <v>76</v>
      </c>
      <c r="J96" s="335">
        <f>Tabel_opvolging2022[[#This Row],[totaal extra punten t.o.v. huidige toeslag]] * tarief_huidig</f>
        <v>11637.537999999999</v>
      </c>
      <c r="L96" s="328" t="s">
        <v>132</v>
      </c>
      <c r="M9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65</v>
      </c>
      <c r="N96" s="334">
        <f>IFERROR(INDEX(Tabel_forfaits[forfait VdM II voor berekening],MATCH(Tabel_opvolging2023[[#This Row],[Vaststelkategorie]],Tabel_forfaits[Zaakcode],0)), "n.v.t.")</f>
        <v>11</v>
      </c>
      <c r="O96" s="334">
        <f>IFERROR(ROUND(Tabel_opvolging2023[[#This Row],[forfait VdMII prc]]*$D$5,$D$8),  $D$6)</f>
        <v>3</v>
      </c>
      <c r="P96" s="334">
        <f>SUMIFS(bron_opvolging[toeslag opvolging AV],bron_opvolging[Jaar Besluit Rel1 Vas Datum],"2023",bron_opvolging[Vaststelkategorie],Tabel_opvolging2023[[#This Row],[Vaststelkategorie]]) / $D$6</f>
        <v>0</v>
      </c>
      <c r="Q96" s="334">
        <f>MIN($D$7,Tabel_opvolging2023[[#This Row],[forfait VdMII prc]])</f>
        <v>10</v>
      </c>
      <c r="R96" s="334">
        <f>IFERROR(ROUND(Tabel_opvolging2023[[#This Row],[forfait VdMII adv]]*$D$5,$D$8),  $D$6)</f>
        <v>3</v>
      </c>
      <c r="S96" s="334">
        <f>(Tabel_opvolging2023[[#This Row],[aantal opvolging procedure 2023]] * (Tabel_opvolging2023[[#This Row],[toeslag opvolging VdM II prc]]-$D$6)) + (Tabel_opvolging2023[[#This Row],[aantal opvolging advies 2023*]] * (Tabel_opvolging2023[[#This Row],[toeslag opvolging VdM II adv]]-$D$6))</f>
        <v>65</v>
      </c>
      <c r="T96" s="335">
        <f>Tabel_opvolging2023[[#This Row],[totaal extra punten t.o.v. huidige toeslag]] * tarief_huidig</f>
        <v>9953.1574999999993</v>
      </c>
    </row>
    <row r="97" spans="2:20" x14ac:dyDescent="0.3">
      <c r="B97" s="328" t="s">
        <v>133</v>
      </c>
      <c r="C9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47</v>
      </c>
      <c r="D97" s="334">
        <f>IFERROR(INDEX(Tabel_forfaits[forfait VdM II voor berekening],MATCH(Tabel_opvolging2022[[#This Row],[Vaststelkategorie]],Tabel_forfaits[Zaakcode],0)), "n.v.t.")</f>
        <v>4</v>
      </c>
      <c r="E97" s="334">
        <f t="shared" si="2"/>
        <v>1</v>
      </c>
      <c r="F97" s="337">
        <f>SUMIFS(bron_opvolging[toeslag opvolging AV],bron_opvolging[Jaar Besluit Rel1 Vas Datum],"2022",bron_opvolging[Vaststelkategorie],Tabel_opvolging2022[[#This Row],[Vaststelkategorie]]) / $D$6</f>
        <v>0</v>
      </c>
      <c r="G97" s="334">
        <f>MIN($D$7,Tabel_opvolging2022[[#This Row],[forfait VdMII prc]])</f>
        <v>4</v>
      </c>
      <c r="H97" s="334">
        <f>IFERROR(ROUND(Tabel_opvolging2022[[#This Row],[forfait VdMII adv]]*$D$5,$D$8),  $D$6)</f>
        <v>1</v>
      </c>
      <c r="I97" s="337">
        <f>(Tabel_opvolging2022[[#This Row],[aantal opvolging pocedure 2022]] * (Tabel_opvolging2022[[#This Row],[toeslag opvolging VdM II prc]]-$D$6)) + (Tabel_opvolging2022[[#This Row],[aantal opvolging advies 2022*]] * (Tabel_opvolging2022[[#This Row],[toeslag opvolging VdM II adv]]-$D$6))</f>
        <v>-47</v>
      </c>
      <c r="J97" s="335">
        <f>Tabel_opvolging2022[[#This Row],[totaal extra punten t.o.v. huidige toeslag]] * tarief_huidig</f>
        <v>-7196.8984999999993</v>
      </c>
      <c r="L97" s="328" t="s">
        <v>133</v>
      </c>
      <c r="M9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61</v>
      </c>
      <c r="N97" s="334">
        <f>IFERROR(INDEX(Tabel_forfaits[forfait VdM II voor berekening],MATCH(Tabel_opvolging2023[[#This Row],[Vaststelkategorie]],Tabel_forfaits[Zaakcode],0)), "n.v.t.")</f>
        <v>4</v>
      </c>
      <c r="O97" s="334">
        <f>IFERROR(ROUND(Tabel_opvolging2023[[#This Row],[forfait VdMII prc]]*$D$5,$D$8),  $D$6)</f>
        <v>1</v>
      </c>
      <c r="P97" s="334">
        <f>SUMIFS(bron_opvolging[toeslag opvolging AV],bron_opvolging[Jaar Besluit Rel1 Vas Datum],"2023",bron_opvolging[Vaststelkategorie],Tabel_opvolging2023[[#This Row],[Vaststelkategorie]]) / $D$6</f>
        <v>0</v>
      </c>
      <c r="Q97" s="334">
        <f>MIN($D$7,Tabel_opvolging2023[[#This Row],[forfait VdMII prc]])</f>
        <v>4</v>
      </c>
      <c r="R97" s="334">
        <f>IFERROR(ROUND(Tabel_opvolging2023[[#This Row],[forfait VdMII adv]]*$D$5,$D$8),  $D$6)</f>
        <v>1</v>
      </c>
      <c r="S97" s="334">
        <f>(Tabel_opvolging2023[[#This Row],[aantal opvolging procedure 2023]] * (Tabel_opvolging2023[[#This Row],[toeslag opvolging VdM II prc]]-$D$6)) + (Tabel_opvolging2023[[#This Row],[aantal opvolging advies 2023*]] * (Tabel_opvolging2023[[#This Row],[toeslag opvolging VdM II adv]]-$D$6))</f>
        <v>-61</v>
      </c>
      <c r="T97" s="335">
        <f>Tabel_opvolging2023[[#This Row],[totaal extra punten t.o.v. huidige toeslag]] * tarief_huidig</f>
        <v>-9340.6554999999989</v>
      </c>
    </row>
    <row r="98" spans="2:20" x14ac:dyDescent="0.3">
      <c r="B98" s="328" t="s">
        <v>134</v>
      </c>
      <c r="C9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9</v>
      </c>
      <c r="D98" s="334">
        <f>IFERROR(INDEX(Tabel_forfaits[forfait VdM II voor berekening],MATCH(Tabel_opvolging2022[[#This Row],[Vaststelkategorie]],Tabel_forfaits[Zaakcode],0)), "n.v.t.")</f>
        <v>5</v>
      </c>
      <c r="E98" s="334">
        <f t="shared" si="2"/>
        <v>1</v>
      </c>
      <c r="F98" s="337">
        <f>SUMIFS(bron_opvolging[toeslag opvolging AV],bron_opvolging[Jaar Besluit Rel1 Vas Datum],"2022",bron_opvolging[Vaststelkategorie],Tabel_opvolging2022[[#This Row],[Vaststelkategorie]]) / $D$6</f>
        <v>0</v>
      </c>
      <c r="G98" s="334">
        <f>MIN($D$7,Tabel_opvolging2022[[#This Row],[forfait VdMII prc]])</f>
        <v>5</v>
      </c>
      <c r="H98" s="334">
        <f>IFERROR(ROUND(Tabel_opvolging2022[[#This Row],[forfait VdMII adv]]*$D$5,$D$8),  $D$6)</f>
        <v>1</v>
      </c>
      <c r="I98" s="337">
        <f>(Tabel_opvolging2022[[#This Row],[aantal opvolging pocedure 2022]] * (Tabel_opvolging2022[[#This Row],[toeslag opvolging VdM II prc]]-$D$6)) + (Tabel_opvolging2022[[#This Row],[aantal opvolging advies 2022*]] * (Tabel_opvolging2022[[#This Row],[toeslag opvolging VdM II adv]]-$D$6))</f>
        <v>-9</v>
      </c>
      <c r="J98" s="335">
        <f>Tabel_opvolging2022[[#This Row],[totaal extra punten t.o.v. huidige toeslag]] * tarief_huidig</f>
        <v>-1378.1295</v>
      </c>
      <c r="L98" s="328" t="s">
        <v>134</v>
      </c>
      <c r="M9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8</v>
      </c>
      <c r="N98" s="334">
        <f>IFERROR(INDEX(Tabel_forfaits[forfait VdM II voor berekening],MATCH(Tabel_opvolging2023[[#This Row],[Vaststelkategorie]],Tabel_forfaits[Zaakcode],0)), "n.v.t.")</f>
        <v>5</v>
      </c>
      <c r="O98" s="334">
        <f>IFERROR(ROUND(Tabel_opvolging2023[[#This Row],[forfait VdMII prc]]*$D$5,$D$8),  $D$6)</f>
        <v>1</v>
      </c>
      <c r="P98" s="334">
        <f>SUMIFS(bron_opvolging[toeslag opvolging AV],bron_opvolging[Jaar Besluit Rel1 Vas Datum],"2023",bron_opvolging[Vaststelkategorie],Tabel_opvolging2023[[#This Row],[Vaststelkategorie]]) / $D$6</f>
        <v>0</v>
      </c>
      <c r="Q98" s="334">
        <f>MIN($D$7,Tabel_opvolging2023[[#This Row],[forfait VdMII prc]])</f>
        <v>5</v>
      </c>
      <c r="R98" s="334">
        <f>IFERROR(ROUND(Tabel_opvolging2023[[#This Row],[forfait VdMII adv]]*$D$5,$D$8),  $D$6)</f>
        <v>1</v>
      </c>
      <c r="S98" s="334">
        <f>(Tabel_opvolging2023[[#This Row],[aantal opvolging procedure 2023]] * (Tabel_opvolging2023[[#This Row],[toeslag opvolging VdM II prc]]-$D$6)) + (Tabel_opvolging2023[[#This Row],[aantal opvolging advies 2023*]] * (Tabel_opvolging2023[[#This Row],[toeslag opvolging VdM II adv]]-$D$6))</f>
        <v>-8</v>
      </c>
      <c r="T98" s="335">
        <f>Tabel_opvolging2023[[#This Row],[totaal extra punten t.o.v. huidige toeslag]] * tarief_huidig</f>
        <v>-1225.0039999999999</v>
      </c>
    </row>
    <row r="99" spans="2:20" x14ac:dyDescent="0.3">
      <c r="B99" s="328" t="s">
        <v>135</v>
      </c>
      <c r="C9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7</v>
      </c>
      <c r="D99" s="334">
        <f>IFERROR(INDEX(Tabel_forfaits[forfait VdM II voor berekening],MATCH(Tabel_opvolging2022[[#This Row],[Vaststelkategorie]],Tabel_forfaits[Zaakcode],0)), "n.v.t.")</f>
        <v>9</v>
      </c>
      <c r="E99" s="334">
        <f t="shared" si="2"/>
        <v>2</v>
      </c>
      <c r="F99" s="337">
        <f>SUMIFS(bron_opvolging[toeslag opvolging AV],bron_opvolging[Jaar Besluit Rel1 Vas Datum],"2022",bron_opvolging[Vaststelkategorie],Tabel_opvolging2022[[#This Row],[Vaststelkategorie]]) / $D$6</f>
        <v>0</v>
      </c>
      <c r="G99" s="334">
        <f>MIN($D$7,Tabel_opvolging2022[[#This Row],[forfait VdMII prc]])</f>
        <v>9</v>
      </c>
      <c r="H99" s="334">
        <f>IFERROR(ROUND(Tabel_opvolging2022[[#This Row],[forfait VdMII adv]]*$D$5,$D$8),  $D$6)</f>
        <v>2</v>
      </c>
      <c r="I99" s="337">
        <f>(Tabel_opvolging2022[[#This Row],[aantal opvolging pocedure 2022]] * (Tabel_opvolging2022[[#This Row],[toeslag opvolging VdM II prc]]-$D$6)) + (Tabel_opvolging2022[[#This Row],[aantal opvolging advies 2022*]] * (Tabel_opvolging2022[[#This Row],[toeslag opvolging VdM II adv]]-$D$6))</f>
        <v>0</v>
      </c>
      <c r="J99" s="335">
        <f>Tabel_opvolging2022[[#This Row],[totaal extra punten t.o.v. huidige toeslag]] * tarief_huidig</f>
        <v>0</v>
      </c>
      <c r="L99" s="328" t="s">
        <v>135</v>
      </c>
      <c r="M9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7</v>
      </c>
      <c r="N99" s="334">
        <f>IFERROR(INDEX(Tabel_forfaits[forfait VdM II voor berekening],MATCH(Tabel_opvolging2023[[#This Row],[Vaststelkategorie]],Tabel_forfaits[Zaakcode],0)), "n.v.t.")</f>
        <v>9</v>
      </c>
      <c r="O99" s="334">
        <f>IFERROR(ROUND(Tabel_opvolging2023[[#This Row],[forfait VdMII prc]]*$D$5,$D$8),  $D$6)</f>
        <v>2</v>
      </c>
      <c r="P99" s="334">
        <f>SUMIFS(bron_opvolging[toeslag opvolging AV],bron_opvolging[Jaar Besluit Rel1 Vas Datum],"2023",bron_opvolging[Vaststelkategorie],Tabel_opvolging2023[[#This Row],[Vaststelkategorie]]) / $D$6</f>
        <v>0</v>
      </c>
      <c r="Q99" s="334">
        <f>MIN($D$7,Tabel_opvolging2023[[#This Row],[forfait VdMII prc]])</f>
        <v>9</v>
      </c>
      <c r="R99" s="334">
        <f>IFERROR(ROUND(Tabel_opvolging2023[[#This Row],[forfait VdMII adv]]*$D$5,$D$8),  $D$6)</f>
        <v>2</v>
      </c>
      <c r="S99" s="334">
        <f>(Tabel_opvolging2023[[#This Row],[aantal opvolging procedure 2023]] * (Tabel_opvolging2023[[#This Row],[toeslag opvolging VdM II prc]]-$D$6)) + (Tabel_opvolging2023[[#This Row],[aantal opvolging advies 2023*]] * (Tabel_opvolging2023[[#This Row],[toeslag opvolging VdM II adv]]-$D$6))</f>
        <v>0</v>
      </c>
      <c r="T99" s="335">
        <f>Tabel_opvolging2023[[#This Row],[totaal extra punten t.o.v. huidige toeslag]] * tarief_huidig</f>
        <v>0</v>
      </c>
    </row>
    <row r="100" spans="2:20" x14ac:dyDescent="0.3">
      <c r="B100" s="328" t="s">
        <v>136</v>
      </c>
      <c r="C10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28</v>
      </c>
      <c r="D100" s="334">
        <f>IFERROR(INDEX(Tabel_forfaits[forfait VdM II voor berekening],MATCH(Tabel_opvolging2022[[#This Row],[Vaststelkategorie]],Tabel_forfaits[Zaakcode],0)), "n.v.t.")</f>
        <v>5</v>
      </c>
      <c r="E100" s="334">
        <f t="shared" si="2"/>
        <v>1</v>
      </c>
      <c r="F100" s="337">
        <f>SUMIFS(bron_opvolging[toeslag opvolging AV],bron_opvolging[Jaar Besluit Rel1 Vas Datum],"2022",bron_opvolging[Vaststelkategorie],Tabel_opvolging2022[[#This Row],[Vaststelkategorie]]) / $D$6</f>
        <v>0</v>
      </c>
      <c r="G100" s="334">
        <f>MIN($D$7,Tabel_opvolging2022[[#This Row],[forfait VdMII prc]])</f>
        <v>5</v>
      </c>
      <c r="H100" s="334">
        <f>IFERROR(ROUND(Tabel_opvolging2022[[#This Row],[forfait VdMII adv]]*$D$5,$D$8),  $D$6)</f>
        <v>1</v>
      </c>
      <c r="I100" s="337">
        <f>(Tabel_opvolging2022[[#This Row],[aantal opvolging pocedure 2022]] * (Tabel_opvolging2022[[#This Row],[toeslag opvolging VdM II prc]]-$D$6)) + (Tabel_opvolging2022[[#This Row],[aantal opvolging advies 2022*]] * (Tabel_opvolging2022[[#This Row],[toeslag opvolging VdM II adv]]-$D$6))</f>
        <v>-28</v>
      </c>
      <c r="J100" s="335">
        <f>Tabel_opvolging2022[[#This Row],[totaal extra punten t.o.v. huidige toeslag]] * tarief_huidig</f>
        <v>-4287.5139999999992</v>
      </c>
      <c r="L100" s="328" t="s">
        <v>136</v>
      </c>
      <c r="M10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21</v>
      </c>
      <c r="N100" s="334">
        <f>IFERROR(INDEX(Tabel_forfaits[forfait VdM II voor berekening],MATCH(Tabel_opvolging2023[[#This Row],[Vaststelkategorie]],Tabel_forfaits[Zaakcode],0)), "n.v.t.")</f>
        <v>5</v>
      </c>
      <c r="O100" s="334">
        <f>IFERROR(ROUND(Tabel_opvolging2023[[#This Row],[forfait VdMII prc]]*$D$5,$D$8),  $D$6)</f>
        <v>1</v>
      </c>
      <c r="P100" s="334">
        <f>SUMIFS(bron_opvolging[toeslag opvolging AV],bron_opvolging[Jaar Besluit Rel1 Vas Datum],"2023",bron_opvolging[Vaststelkategorie],Tabel_opvolging2023[[#This Row],[Vaststelkategorie]]) / $D$6</f>
        <v>0</v>
      </c>
      <c r="Q100" s="334">
        <f>MIN($D$7,Tabel_opvolging2023[[#This Row],[forfait VdMII prc]])</f>
        <v>5</v>
      </c>
      <c r="R100" s="334">
        <f>IFERROR(ROUND(Tabel_opvolging2023[[#This Row],[forfait VdMII adv]]*$D$5,$D$8),  $D$6)</f>
        <v>1</v>
      </c>
      <c r="S100" s="334">
        <f>(Tabel_opvolging2023[[#This Row],[aantal opvolging procedure 2023]] * (Tabel_opvolging2023[[#This Row],[toeslag opvolging VdM II prc]]-$D$6)) + (Tabel_opvolging2023[[#This Row],[aantal opvolging advies 2023*]] * (Tabel_opvolging2023[[#This Row],[toeslag opvolging VdM II adv]]-$D$6))</f>
        <v>-21</v>
      </c>
      <c r="T100" s="335">
        <f>Tabel_opvolging2023[[#This Row],[totaal extra punten t.o.v. huidige toeslag]] * tarief_huidig</f>
        <v>-3215.6354999999999</v>
      </c>
    </row>
    <row r="101" spans="2:20" x14ac:dyDescent="0.3">
      <c r="B101" s="328" t="s">
        <v>138</v>
      </c>
      <c r="C10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53</v>
      </c>
      <c r="D101" s="334">
        <f>IFERROR(INDEX(Tabel_forfaits[forfait VdM II voor berekening],MATCH(Tabel_opvolging2022[[#This Row],[Vaststelkategorie]],Tabel_forfaits[Zaakcode],0)), "n.v.t.")</f>
        <v>4</v>
      </c>
      <c r="E101" s="334">
        <f t="shared" si="2"/>
        <v>1</v>
      </c>
      <c r="F101" s="337">
        <f>SUMIFS(bron_opvolging[toeslag opvolging AV],bron_opvolging[Jaar Besluit Rel1 Vas Datum],"2022",bron_opvolging[Vaststelkategorie],Tabel_opvolging2022[[#This Row],[Vaststelkategorie]]) / $D$6</f>
        <v>0</v>
      </c>
      <c r="G101" s="334">
        <f>MIN($D$7,Tabel_opvolging2022[[#This Row],[forfait VdMII prc]])</f>
        <v>4</v>
      </c>
      <c r="H101" s="334">
        <f>IFERROR(ROUND(Tabel_opvolging2022[[#This Row],[forfait VdMII adv]]*$D$5,$D$8),  $D$6)</f>
        <v>1</v>
      </c>
      <c r="I101" s="337">
        <f>(Tabel_opvolging2022[[#This Row],[aantal opvolging pocedure 2022]] * (Tabel_opvolging2022[[#This Row],[toeslag opvolging VdM II prc]]-$D$6)) + (Tabel_opvolging2022[[#This Row],[aantal opvolging advies 2022*]] * (Tabel_opvolging2022[[#This Row],[toeslag opvolging VdM II adv]]-$D$6))</f>
        <v>-53</v>
      </c>
      <c r="J101" s="335">
        <f>Tabel_opvolging2022[[#This Row],[totaal extra punten t.o.v. huidige toeslag]] * tarief_huidig</f>
        <v>-8115.651499999999</v>
      </c>
      <c r="L101" s="328" t="s">
        <v>138</v>
      </c>
      <c r="M10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62</v>
      </c>
      <c r="N101" s="334">
        <f>IFERROR(INDEX(Tabel_forfaits[forfait VdM II voor berekening],MATCH(Tabel_opvolging2023[[#This Row],[Vaststelkategorie]],Tabel_forfaits[Zaakcode],0)), "n.v.t.")</f>
        <v>4</v>
      </c>
      <c r="O101" s="334">
        <f>IFERROR(ROUND(Tabel_opvolging2023[[#This Row],[forfait VdMII prc]]*$D$5,$D$8),  $D$6)</f>
        <v>1</v>
      </c>
      <c r="P101" s="334">
        <f>SUMIFS(bron_opvolging[toeslag opvolging AV],bron_opvolging[Jaar Besluit Rel1 Vas Datum],"2023",bron_opvolging[Vaststelkategorie],Tabel_opvolging2023[[#This Row],[Vaststelkategorie]]) / $D$6</f>
        <v>0</v>
      </c>
      <c r="Q101" s="334">
        <f>MIN($D$7,Tabel_opvolging2023[[#This Row],[forfait VdMII prc]])</f>
        <v>4</v>
      </c>
      <c r="R101" s="334">
        <f>IFERROR(ROUND(Tabel_opvolging2023[[#This Row],[forfait VdMII adv]]*$D$5,$D$8),  $D$6)</f>
        <v>1</v>
      </c>
      <c r="S101" s="334">
        <f>(Tabel_opvolging2023[[#This Row],[aantal opvolging procedure 2023]] * (Tabel_opvolging2023[[#This Row],[toeslag opvolging VdM II prc]]-$D$6)) + (Tabel_opvolging2023[[#This Row],[aantal opvolging advies 2023*]] * (Tabel_opvolging2023[[#This Row],[toeslag opvolging VdM II adv]]-$D$6))</f>
        <v>-62</v>
      </c>
      <c r="T101" s="335">
        <f>Tabel_opvolging2023[[#This Row],[totaal extra punten t.o.v. huidige toeslag]] * tarief_huidig</f>
        <v>-9493.780999999999</v>
      </c>
    </row>
    <row r="102" spans="2:20" x14ac:dyDescent="0.3">
      <c r="B102" s="328" t="s">
        <v>139</v>
      </c>
      <c r="C10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102" s="334">
        <f>IFERROR(INDEX(Tabel_forfaits[forfait VdM II voor berekening],MATCH(Tabel_opvolging2022[[#This Row],[Vaststelkategorie]],Tabel_forfaits[Zaakcode],0)), "n.v.t.")</f>
        <v>6</v>
      </c>
      <c r="E102" s="334">
        <f t="shared" si="2"/>
        <v>2</v>
      </c>
      <c r="F102" s="337">
        <f>SUMIFS(bron_opvolging[toeslag opvolging AV],bron_opvolging[Jaar Besluit Rel1 Vas Datum],"2022",bron_opvolging[Vaststelkategorie],Tabel_opvolging2022[[#This Row],[Vaststelkategorie]]) / $D$6</f>
        <v>0</v>
      </c>
      <c r="G102" s="334">
        <f>MIN($D$7,Tabel_opvolging2022[[#This Row],[forfait VdMII prc]])</f>
        <v>6</v>
      </c>
      <c r="H102" s="334">
        <f>IFERROR(ROUND(Tabel_opvolging2022[[#This Row],[forfait VdMII adv]]*$D$5,$D$8),  $D$6)</f>
        <v>2</v>
      </c>
      <c r="I102" s="337">
        <f>(Tabel_opvolging2022[[#This Row],[aantal opvolging pocedure 2022]] * (Tabel_opvolging2022[[#This Row],[toeslag opvolging VdM II prc]]-$D$6)) + (Tabel_opvolging2022[[#This Row],[aantal opvolging advies 2022*]] * (Tabel_opvolging2022[[#This Row],[toeslag opvolging VdM II adv]]-$D$6))</f>
        <v>0</v>
      </c>
      <c r="J102" s="335">
        <f>Tabel_opvolging2022[[#This Row],[totaal extra punten t.o.v. huidige toeslag]] * tarief_huidig</f>
        <v>0</v>
      </c>
      <c r="L102" s="328" t="s">
        <v>139</v>
      </c>
      <c r="M10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7</v>
      </c>
      <c r="N102" s="334">
        <f>IFERROR(INDEX(Tabel_forfaits[forfait VdM II voor berekening],MATCH(Tabel_opvolging2023[[#This Row],[Vaststelkategorie]],Tabel_forfaits[Zaakcode],0)), "n.v.t.")</f>
        <v>6</v>
      </c>
      <c r="O102" s="334">
        <f>IFERROR(ROUND(Tabel_opvolging2023[[#This Row],[forfait VdMII prc]]*$D$5,$D$8),  $D$6)</f>
        <v>2</v>
      </c>
      <c r="P102" s="334">
        <f>SUMIFS(bron_opvolging[toeslag opvolging AV],bron_opvolging[Jaar Besluit Rel1 Vas Datum],"2023",bron_opvolging[Vaststelkategorie],Tabel_opvolging2023[[#This Row],[Vaststelkategorie]]) / $D$6</f>
        <v>0</v>
      </c>
      <c r="Q102" s="334">
        <f>MIN($D$7,Tabel_opvolging2023[[#This Row],[forfait VdMII prc]])</f>
        <v>6</v>
      </c>
      <c r="R102" s="334">
        <f>IFERROR(ROUND(Tabel_opvolging2023[[#This Row],[forfait VdMII adv]]*$D$5,$D$8),  $D$6)</f>
        <v>2</v>
      </c>
      <c r="S102" s="334">
        <f>(Tabel_opvolging2023[[#This Row],[aantal opvolging procedure 2023]] * (Tabel_opvolging2023[[#This Row],[toeslag opvolging VdM II prc]]-$D$6)) + (Tabel_opvolging2023[[#This Row],[aantal opvolging advies 2023*]] * (Tabel_opvolging2023[[#This Row],[toeslag opvolging VdM II adv]]-$D$6))</f>
        <v>0</v>
      </c>
      <c r="T102" s="335">
        <f>Tabel_opvolging2023[[#This Row],[totaal extra punten t.o.v. huidige toeslag]] * tarief_huidig</f>
        <v>0</v>
      </c>
    </row>
    <row r="103" spans="2:20" x14ac:dyDescent="0.3">
      <c r="B103" s="328" t="s">
        <v>140</v>
      </c>
      <c r="C10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127</v>
      </c>
      <c r="D103" s="334">
        <f>IFERROR(INDEX(Tabel_forfaits[forfait VdM II voor berekening],MATCH(Tabel_opvolging2022[[#This Row],[Vaststelkategorie]],Tabel_forfaits[Zaakcode],0)), "n.v.t.")</f>
        <v>5</v>
      </c>
      <c r="E103" s="334">
        <f t="shared" si="2"/>
        <v>1</v>
      </c>
      <c r="F103" s="337">
        <f>SUMIFS(bron_opvolging[toeslag opvolging AV],bron_opvolging[Jaar Besluit Rel1 Vas Datum],"2022",bron_opvolging[Vaststelkategorie],Tabel_opvolging2022[[#This Row],[Vaststelkategorie]]) / $D$6</f>
        <v>0</v>
      </c>
      <c r="G103" s="334">
        <f>MIN($D$7,Tabel_opvolging2022[[#This Row],[forfait VdMII prc]])</f>
        <v>5</v>
      </c>
      <c r="H103" s="334">
        <f>IFERROR(ROUND(Tabel_opvolging2022[[#This Row],[forfait VdMII adv]]*$D$5,$D$8),  $D$6)</f>
        <v>1</v>
      </c>
      <c r="I103" s="337">
        <f>(Tabel_opvolging2022[[#This Row],[aantal opvolging pocedure 2022]] * (Tabel_opvolging2022[[#This Row],[toeslag opvolging VdM II prc]]-$D$6)) + (Tabel_opvolging2022[[#This Row],[aantal opvolging advies 2022*]] * (Tabel_opvolging2022[[#This Row],[toeslag opvolging VdM II adv]]-$D$6))</f>
        <v>-127</v>
      </c>
      <c r="J103" s="335">
        <f>Tabel_opvolging2022[[#This Row],[totaal extra punten t.o.v. huidige toeslag]] * tarief_huidig</f>
        <v>-19446.9385</v>
      </c>
      <c r="L103" s="328" t="s">
        <v>140</v>
      </c>
      <c r="M10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124</v>
      </c>
      <c r="N103" s="334">
        <f>IFERROR(INDEX(Tabel_forfaits[forfait VdM II voor berekening],MATCH(Tabel_opvolging2023[[#This Row],[Vaststelkategorie]],Tabel_forfaits[Zaakcode],0)), "n.v.t.")</f>
        <v>5</v>
      </c>
      <c r="O103" s="334">
        <f>IFERROR(ROUND(Tabel_opvolging2023[[#This Row],[forfait VdMII prc]]*$D$5,$D$8),  $D$6)</f>
        <v>1</v>
      </c>
      <c r="P103" s="334">
        <f>SUMIFS(bron_opvolging[toeslag opvolging AV],bron_opvolging[Jaar Besluit Rel1 Vas Datum],"2023",bron_opvolging[Vaststelkategorie],Tabel_opvolging2023[[#This Row],[Vaststelkategorie]]) / $D$6</f>
        <v>0</v>
      </c>
      <c r="Q103" s="334">
        <f>MIN($D$7,Tabel_opvolging2023[[#This Row],[forfait VdMII prc]])</f>
        <v>5</v>
      </c>
      <c r="R103" s="334">
        <f>IFERROR(ROUND(Tabel_opvolging2023[[#This Row],[forfait VdMII adv]]*$D$5,$D$8),  $D$6)</f>
        <v>1</v>
      </c>
      <c r="S103" s="334">
        <f>(Tabel_opvolging2023[[#This Row],[aantal opvolging procedure 2023]] * (Tabel_opvolging2023[[#This Row],[toeslag opvolging VdM II prc]]-$D$6)) + (Tabel_opvolging2023[[#This Row],[aantal opvolging advies 2023*]] * (Tabel_opvolging2023[[#This Row],[toeslag opvolging VdM II adv]]-$D$6))</f>
        <v>-124</v>
      </c>
      <c r="T103" s="335">
        <f>Tabel_opvolging2023[[#This Row],[totaal extra punten t.o.v. huidige toeslag]] * tarief_huidig</f>
        <v>-18987.561999999998</v>
      </c>
    </row>
    <row r="104" spans="2:20" x14ac:dyDescent="0.3">
      <c r="B104" s="328" t="s">
        <v>141</v>
      </c>
      <c r="C10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27</v>
      </c>
      <c r="D104" s="334">
        <f>IFERROR(INDEX(Tabel_forfaits[forfait VdM II voor berekening],MATCH(Tabel_opvolging2022[[#This Row],[Vaststelkategorie]],Tabel_forfaits[Zaakcode],0)), "n.v.t.")</f>
        <v>5</v>
      </c>
      <c r="E104" s="334">
        <f t="shared" si="2"/>
        <v>1</v>
      </c>
      <c r="F104" s="337">
        <f>SUMIFS(bron_opvolging[toeslag opvolging AV],bron_opvolging[Jaar Besluit Rel1 Vas Datum],"2022",bron_opvolging[Vaststelkategorie],Tabel_opvolging2022[[#This Row],[Vaststelkategorie]]) / $D$6</f>
        <v>0</v>
      </c>
      <c r="G104" s="334">
        <f>MIN($D$7,Tabel_opvolging2022[[#This Row],[forfait VdMII prc]])</f>
        <v>5</v>
      </c>
      <c r="H104" s="334">
        <f>IFERROR(ROUND(Tabel_opvolging2022[[#This Row],[forfait VdMII adv]]*$D$5,$D$8),  $D$6)</f>
        <v>1</v>
      </c>
      <c r="I104" s="337">
        <f>(Tabel_opvolging2022[[#This Row],[aantal opvolging pocedure 2022]] * (Tabel_opvolging2022[[#This Row],[toeslag opvolging VdM II prc]]-$D$6)) + (Tabel_opvolging2022[[#This Row],[aantal opvolging advies 2022*]] * (Tabel_opvolging2022[[#This Row],[toeslag opvolging VdM II adv]]-$D$6))</f>
        <v>-27</v>
      </c>
      <c r="J104" s="335">
        <f>Tabel_opvolging2022[[#This Row],[totaal extra punten t.o.v. huidige toeslag]] * tarief_huidig</f>
        <v>-4134.3885</v>
      </c>
      <c r="L104" s="328" t="s">
        <v>141</v>
      </c>
      <c r="M10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43</v>
      </c>
      <c r="N104" s="334">
        <f>IFERROR(INDEX(Tabel_forfaits[forfait VdM II voor berekening],MATCH(Tabel_opvolging2023[[#This Row],[Vaststelkategorie]],Tabel_forfaits[Zaakcode],0)), "n.v.t.")</f>
        <v>5</v>
      </c>
      <c r="O104" s="334">
        <f>IFERROR(ROUND(Tabel_opvolging2023[[#This Row],[forfait VdMII prc]]*$D$5,$D$8),  $D$6)</f>
        <v>1</v>
      </c>
      <c r="P104" s="334">
        <f>SUMIFS(bron_opvolging[toeslag opvolging AV],bron_opvolging[Jaar Besluit Rel1 Vas Datum],"2023",bron_opvolging[Vaststelkategorie],Tabel_opvolging2023[[#This Row],[Vaststelkategorie]]) / $D$6</f>
        <v>0</v>
      </c>
      <c r="Q104" s="334">
        <f>MIN($D$7,Tabel_opvolging2023[[#This Row],[forfait VdMII prc]])</f>
        <v>5</v>
      </c>
      <c r="R104" s="334">
        <f>IFERROR(ROUND(Tabel_opvolging2023[[#This Row],[forfait VdMII adv]]*$D$5,$D$8),  $D$6)</f>
        <v>1</v>
      </c>
      <c r="S104" s="334">
        <f>(Tabel_opvolging2023[[#This Row],[aantal opvolging procedure 2023]] * (Tabel_opvolging2023[[#This Row],[toeslag opvolging VdM II prc]]-$D$6)) + (Tabel_opvolging2023[[#This Row],[aantal opvolging advies 2023*]] * (Tabel_opvolging2023[[#This Row],[toeslag opvolging VdM II adv]]-$D$6))</f>
        <v>-43</v>
      </c>
      <c r="T104" s="335">
        <f>Tabel_opvolging2023[[#This Row],[totaal extra punten t.o.v. huidige toeslag]] * tarief_huidig</f>
        <v>-6584.3964999999998</v>
      </c>
    </row>
    <row r="105" spans="2:20" x14ac:dyDescent="0.3">
      <c r="B105" s="328" t="s">
        <v>142</v>
      </c>
      <c r="C10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v>
      </c>
      <c r="D105" s="334">
        <f>IFERROR(INDEX(Tabel_forfaits[forfait VdM II voor berekening],MATCH(Tabel_opvolging2022[[#This Row],[Vaststelkategorie]],Tabel_forfaits[Zaakcode],0)), "n.v.t.")</f>
        <v>5</v>
      </c>
      <c r="E105" s="334">
        <f t="shared" si="2"/>
        <v>1</v>
      </c>
      <c r="F105" s="337">
        <f>SUMIFS(bron_opvolging[toeslag opvolging AV],bron_opvolging[Jaar Besluit Rel1 Vas Datum],"2022",bron_opvolging[Vaststelkategorie],Tabel_opvolging2022[[#This Row],[Vaststelkategorie]]) / $D$6</f>
        <v>0</v>
      </c>
      <c r="G105" s="334">
        <f>MIN($D$7,Tabel_opvolging2022[[#This Row],[forfait VdMII prc]])</f>
        <v>5</v>
      </c>
      <c r="H105" s="334">
        <f>IFERROR(ROUND(Tabel_opvolging2022[[#This Row],[forfait VdMII adv]]*$D$5,$D$8),  $D$6)</f>
        <v>1</v>
      </c>
      <c r="I105" s="337">
        <f>(Tabel_opvolging2022[[#This Row],[aantal opvolging pocedure 2022]] * (Tabel_opvolging2022[[#This Row],[toeslag opvolging VdM II prc]]-$D$6)) + (Tabel_opvolging2022[[#This Row],[aantal opvolging advies 2022*]] * (Tabel_opvolging2022[[#This Row],[toeslag opvolging VdM II adv]]-$D$6))</f>
        <v>-1</v>
      </c>
      <c r="J105" s="335">
        <f>Tabel_opvolging2022[[#This Row],[totaal extra punten t.o.v. huidige toeslag]] * tarief_huidig</f>
        <v>-153.12549999999999</v>
      </c>
      <c r="L105" s="328" t="s">
        <v>142</v>
      </c>
      <c r="M10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0</v>
      </c>
      <c r="N105" s="334">
        <f>IFERROR(INDEX(Tabel_forfaits[forfait VdM II voor berekening],MATCH(Tabel_opvolging2023[[#This Row],[Vaststelkategorie]],Tabel_forfaits[Zaakcode],0)), "n.v.t.")</f>
        <v>5</v>
      </c>
      <c r="O105" s="334">
        <f>IFERROR(ROUND(Tabel_opvolging2023[[#This Row],[forfait VdMII prc]]*$D$5,$D$8),  $D$6)</f>
        <v>1</v>
      </c>
      <c r="P105" s="334">
        <f>SUMIFS(bron_opvolging[toeslag opvolging AV],bron_opvolging[Jaar Besluit Rel1 Vas Datum],"2023",bron_opvolging[Vaststelkategorie],Tabel_opvolging2023[[#This Row],[Vaststelkategorie]]) / $D$6</f>
        <v>0</v>
      </c>
      <c r="Q105" s="334">
        <f>MIN($D$7,Tabel_opvolging2023[[#This Row],[forfait VdMII prc]])</f>
        <v>5</v>
      </c>
      <c r="R105" s="334">
        <f>IFERROR(ROUND(Tabel_opvolging2023[[#This Row],[forfait VdMII adv]]*$D$5,$D$8),  $D$6)</f>
        <v>1</v>
      </c>
      <c r="S105" s="334">
        <f>(Tabel_opvolging2023[[#This Row],[aantal opvolging procedure 2023]] * (Tabel_opvolging2023[[#This Row],[toeslag opvolging VdM II prc]]-$D$6)) + (Tabel_opvolging2023[[#This Row],[aantal opvolging advies 2023*]] * (Tabel_opvolging2023[[#This Row],[toeslag opvolging VdM II adv]]-$D$6))</f>
        <v>0</v>
      </c>
      <c r="T105" s="335">
        <f>Tabel_opvolging2023[[#This Row],[totaal extra punten t.o.v. huidige toeslag]] * tarief_huidig</f>
        <v>0</v>
      </c>
    </row>
    <row r="106" spans="2:20" x14ac:dyDescent="0.3">
      <c r="B106" s="328" t="s">
        <v>143</v>
      </c>
      <c r="C10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15</v>
      </c>
      <c r="D106" s="334">
        <f>IFERROR(INDEX(Tabel_forfaits[forfait VdM II voor berekening],MATCH(Tabel_opvolging2022[[#This Row],[Vaststelkategorie]],Tabel_forfaits[Zaakcode],0)), "n.v.t.")</f>
        <v>8</v>
      </c>
      <c r="E106" s="334">
        <f t="shared" si="2"/>
        <v>2</v>
      </c>
      <c r="F106" s="337">
        <f>SUMIFS(bron_opvolging[toeslag opvolging AV],bron_opvolging[Jaar Besluit Rel1 Vas Datum],"2022",bron_opvolging[Vaststelkategorie],Tabel_opvolging2022[[#This Row],[Vaststelkategorie]]) / $D$6</f>
        <v>0</v>
      </c>
      <c r="G106" s="334">
        <f>MIN($D$7,Tabel_opvolging2022[[#This Row],[forfait VdMII prc]])</f>
        <v>8</v>
      </c>
      <c r="H106" s="334">
        <f>IFERROR(ROUND(Tabel_opvolging2022[[#This Row],[forfait VdMII adv]]*$D$5,$D$8),  $D$6)</f>
        <v>2</v>
      </c>
      <c r="I106" s="337">
        <f>(Tabel_opvolging2022[[#This Row],[aantal opvolging pocedure 2022]] * (Tabel_opvolging2022[[#This Row],[toeslag opvolging VdM II prc]]-$D$6)) + (Tabel_opvolging2022[[#This Row],[aantal opvolging advies 2022*]] * (Tabel_opvolging2022[[#This Row],[toeslag opvolging VdM II adv]]-$D$6))</f>
        <v>0</v>
      </c>
      <c r="J106" s="335">
        <f>Tabel_opvolging2022[[#This Row],[totaal extra punten t.o.v. huidige toeslag]] * tarief_huidig</f>
        <v>0</v>
      </c>
      <c r="L106" s="328" t="s">
        <v>143</v>
      </c>
      <c r="M10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9</v>
      </c>
      <c r="N106" s="334">
        <f>IFERROR(INDEX(Tabel_forfaits[forfait VdM II voor berekening],MATCH(Tabel_opvolging2023[[#This Row],[Vaststelkategorie]],Tabel_forfaits[Zaakcode],0)), "n.v.t.")</f>
        <v>8</v>
      </c>
      <c r="O106" s="334">
        <f>IFERROR(ROUND(Tabel_opvolging2023[[#This Row],[forfait VdMII prc]]*$D$5,$D$8),  $D$6)</f>
        <v>2</v>
      </c>
      <c r="P106" s="334">
        <f>SUMIFS(bron_opvolging[toeslag opvolging AV],bron_opvolging[Jaar Besluit Rel1 Vas Datum],"2023",bron_opvolging[Vaststelkategorie],Tabel_opvolging2023[[#This Row],[Vaststelkategorie]]) / $D$6</f>
        <v>0</v>
      </c>
      <c r="Q106" s="334">
        <f>MIN($D$7,Tabel_opvolging2023[[#This Row],[forfait VdMII prc]])</f>
        <v>8</v>
      </c>
      <c r="R106" s="334">
        <f>IFERROR(ROUND(Tabel_opvolging2023[[#This Row],[forfait VdMII adv]]*$D$5,$D$8),  $D$6)</f>
        <v>2</v>
      </c>
      <c r="S106" s="334">
        <f>(Tabel_opvolging2023[[#This Row],[aantal opvolging procedure 2023]] * (Tabel_opvolging2023[[#This Row],[toeslag opvolging VdM II prc]]-$D$6)) + (Tabel_opvolging2023[[#This Row],[aantal opvolging advies 2023*]] * (Tabel_opvolging2023[[#This Row],[toeslag opvolging VdM II adv]]-$D$6))</f>
        <v>0</v>
      </c>
      <c r="T106" s="335">
        <f>Tabel_opvolging2023[[#This Row],[totaal extra punten t.o.v. huidige toeslag]] * tarief_huidig</f>
        <v>0</v>
      </c>
    </row>
    <row r="107" spans="2:20" x14ac:dyDescent="0.3">
      <c r="B107" s="328" t="s">
        <v>144</v>
      </c>
      <c r="C107"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v>
      </c>
      <c r="D107" s="334">
        <f>IFERROR(INDEX(Tabel_forfaits[forfait VdM II voor berekening],MATCH(Tabel_opvolging2022[[#This Row],[Vaststelkategorie]],Tabel_forfaits[Zaakcode],0)), "n.v.t.")</f>
        <v>9</v>
      </c>
      <c r="E107" s="334">
        <f t="shared" si="2"/>
        <v>2</v>
      </c>
      <c r="F107" s="337">
        <f>SUMIFS(bron_opvolging[toeslag opvolging AV],bron_opvolging[Jaar Besluit Rel1 Vas Datum],"2022",bron_opvolging[Vaststelkategorie],Tabel_opvolging2022[[#This Row],[Vaststelkategorie]]) / $D$6</f>
        <v>0</v>
      </c>
      <c r="G107" s="334">
        <f>MIN($D$7,Tabel_opvolging2022[[#This Row],[forfait VdMII prc]])</f>
        <v>9</v>
      </c>
      <c r="H107" s="334">
        <f>IFERROR(ROUND(Tabel_opvolging2022[[#This Row],[forfait VdMII adv]]*$D$5,$D$8),  $D$6)</f>
        <v>2</v>
      </c>
      <c r="I107" s="337">
        <f>(Tabel_opvolging2022[[#This Row],[aantal opvolging pocedure 2022]] * (Tabel_opvolging2022[[#This Row],[toeslag opvolging VdM II prc]]-$D$6)) + (Tabel_opvolging2022[[#This Row],[aantal opvolging advies 2022*]] * (Tabel_opvolging2022[[#This Row],[toeslag opvolging VdM II adv]]-$D$6))</f>
        <v>0</v>
      </c>
      <c r="J107" s="335">
        <f>Tabel_opvolging2022[[#This Row],[totaal extra punten t.o.v. huidige toeslag]] * tarief_huidig</f>
        <v>0</v>
      </c>
      <c r="L107" s="328" t="s">
        <v>144</v>
      </c>
      <c r="M107"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107" s="334">
        <f>IFERROR(INDEX(Tabel_forfaits[forfait VdM II voor berekening],MATCH(Tabel_opvolging2023[[#This Row],[Vaststelkategorie]],Tabel_forfaits[Zaakcode],0)), "n.v.t.")</f>
        <v>9</v>
      </c>
      <c r="O107" s="334">
        <f>IFERROR(ROUND(Tabel_opvolging2023[[#This Row],[forfait VdMII prc]]*$D$5,$D$8),  $D$6)</f>
        <v>2</v>
      </c>
      <c r="P107" s="334">
        <f>SUMIFS(bron_opvolging[toeslag opvolging AV],bron_opvolging[Jaar Besluit Rel1 Vas Datum],"2023",bron_opvolging[Vaststelkategorie],Tabel_opvolging2023[[#This Row],[Vaststelkategorie]]) / $D$6</f>
        <v>0</v>
      </c>
      <c r="Q107" s="334">
        <f>MIN($D$7,Tabel_opvolging2023[[#This Row],[forfait VdMII prc]])</f>
        <v>9</v>
      </c>
      <c r="R107" s="334">
        <f>IFERROR(ROUND(Tabel_opvolging2023[[#This Row],[forfait VdMII adv]]*$D$5,$D$8),  $D$6)</f>
        <v>2</v>
      </c>
      <c r="S107" s="334">
        <f>(Tabel_opvolging2023[[#This Row],[aantal opvolging procedure 2023]] * (Tabel_opvolging2023[[#This Row],[toeslag opvolging VdM II prc]]-$D$6)) + (Tabel_opvolging2023[[#This Row],[aantal opvolging advies 2023*]] * (Tabel_opvolging2023[[#This Row],[toeslag opvolging VdM II adv]]-$D$6))</f>
        <v>0</v>
      </c>
      <c r="T107" s="335">
        <f>Tabel_opvolging2023[[#This Row],[totaal extra punten t.o.v. huidige toeslag]] * tarief_huidig</f>
        <v>0</v>
      </c>
    </row>
    <row r="108" spans="2:20" x14ac:dyDescent="0.3">
      <c r="B108" s="328" t="s">
        <v>145</v>
      </c>
      <c r="C108"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36</v>
      </c>
      <c r="D108" s="334">
        <f>IFERROR(INDEX(Tabel_forfaits[forfait VdM II voor berekening],MATCH(Tabel_opvolging2022[[#This Row],[Vaststelkategorie]],Tabel_forfaits[Zaakcode],0)), "n.v.t.")</f>
        <v>7</v>
      </c>
      <c r="E108" s="334">
        <f t="shared" si="2"/>
        <v>2</v>
      </c>
      <c r="F108" s="337">
        <f>SUMIFS(bron_opvolging[toeslag opvolging AV],bron_opvolging[Jaar Besluit Rel1 Vas Datum],"2022",bron_opvolging[Vaststelkategorie],Tabel_opvolging2022[[#This Row],[Vaststelkategorie]]) / $D$6</f>
        <v>0</v>
      </c>
      <c r="G108" s="334">
        <f>MIN($D$7,Tabel_opvolging2022[[#This Row],[forfait VdMII prc]])</f>
        <v>7</v>
      </c>
      <c r="H108" s="334">
        <f>IFERROR(ROUND(Tabel_opvolging2022[[#This Row],[forfait VdMII adv]]*$D$5,$D$8),  $D$6)</f>
        <v>2</v>
      </c>
      <c r="I108" s="337">
        <f>(Tabel_opvolging2022[[#This Row],[aantal opvolging pocedure 2022]] * (Tabel_opvolging2022[[#This Row],[toeslag opvolging VdM II prc]]-$D$6)) + (Tabel_opvolging2022[[#This Row],[aantal opvolging advies 2022*]] * (Tabel_opvolging2022[[#This Row],[toeslag opvolging VdM II adv]]-$D$6))</f>
        <v>0</v>
      </c>
      <c r="J108" s="335">
        <f>Tabel_opvolging2022[[#This Row],[totaal extra punten t.o.v. huidige toeslag]] * tarief_huidig</f>
        <v>0</v>
      </c>
      <c r="L108" s="328" t="s">
        <v>145</v>
      </c>
      <c r="M108"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41</v>
      </c>
      <c r="N108" s="334">
        <f>IFERROR(INDEX(Tabel_forfaits[forfait VdM II voor berekening],MATCH(Tabel_opvolging2023[[#This Row],[Vaststelkategorie]],Tabel_forfaits[Zaakcode],0)), "n.v.t.")</f>
        <v>7</v>
      </c>
      <c r="O108" s="334">
        <f>IFERROR(ROUND(Tabel_opvolging2023[[#This Row],[forfait VdMII prc]]*$D$5,$D$8),  $D$6)</f>
        <v>2</v>
      </c>
      <c r="P108" s="334">
        <f>SUMIFS(bron_opvolging[toeslag opvolging AV],bron_opvolging[Jaar Besluit Rel1 Vas Datum],"2023",bron_opvolging[Vaststelkategorie],Tabel_opvolging2023[[#This Row],[Vaststelkategorie]]) / $D$6</f>
        <v>0</v>
      </c>
      <c r="Q108" s="334">
        <f>MIN($D$7,Tabel_opvolging2023[[#This Row],[forfait VdMII prc]])</f>
        <v>7</v>
      </c>
      <c r="R108" s="334">
        <f>IFERROR(ROUND(Tabel_opvolging2023[[#This Row],[forfait VdMII adv]]*$D$5,$D$8),  $D$6)</f>
        <v>2</v>
      </c>
      <c r="S108" s="334">
        <f>(Tabel_opvolging2023[[#This Row],[aantal opvolging procedure 2023]] * (Tabel_opvolging2023[[#This Row],[toeslag opvolging VdM II prc]]-$D$6)) + (Tabel_opvolging2023[[#This Row],[aantal opvolging advies 2023*]] * (Tabel_opvolging2023[[#This Row],[toeslag opvolging VdM II adv]]-$D$6))</f>
        <v>0</v>
      </c>
      <c r="T108" s="335">
        <f>Tabel_opvolging2023[[#This Row],[totaal extra punten t.o.v. huidige toeslag]] * tarief_huidig</f>
        <v>0</v>
      </c>
    </row>
    <row r="109" spans="2:20" x14ac:dyDescent="0.3">
      <c r="B109" s="328" t="s">
        <v>146</v>
      </c>
      <c r="C109"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37</v>
      </c>
      <c r="D109" s="334">
        <f>IFERROR(INDEX(Tabel_forfaits[forfait VdM II voor berekening],MATCH(Tabel_opvolging2022[[#This Row],[Vaststelkategorie]],Tabel_forfaits[Zaakcode],0)), "n.v.t.")</f>
        <v>7</v>
      </c>
      <c r="E109" s="334">
        <f t="shared" si="2"/>
        <v>2</v>
      </c>
      <c r="F109" s="337">
        <f>SUMIFS(bron_opvolging[toeslag opvolging AV],bron_opvolging[Jaar Besluit Rel1 Vas Datum],"2022",bron_opvolging[Vaststelkategorie],Tabel_opvolging2022[[#This Row],[Vaststelkategorie]]) / $D$6</f>
        <v>0</v>
      </c>
      <c r="G109" s="334">
        <f>MIN($D$7,Tabel_opvolging2022[[#This Row],[forfait VdMII prc]])</f>
        <v>7</v>
      </c>
      <c r="H109" s="334">
        <f>IFERROR(ROUND(Tabel_opvolging2022[[#This Row],[forfait VdMII adv]]*$D$5,$D$8),  $D$6)</f>
        <v>2</v>
      </c>
      <c r="I109" s="337">
        <f>(Tabel_opvolging2022[[#This Row],[aantal opvolging pocedure 2022]] * (Tabel_opvolging2022[[#This Row],[toeslag opvolging VdM II prc]]-$D$6)) + (Tabel_opvolging2022[[#This Row],[aantal opvolging advies 2022*]] * (Tabel_opvolging2022[[#This Row],[toeslag opvolging VdM II adv]]-$D$6))</f>
        <v>0</v>
      </c>
      <c r="J109" s="335">
        <f>Tabel_opvolging2022[[#This Row],[totaal extra punten t.o.v. huidige toeslag]] * tarief_huidig</f>
        <v>0</v>
      </c>
      <c r="L109" s="328" t="s">
        <v>146</v>
      </c>
      <c r="M109"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29</v>
      </c>
      <c r="N109" s="334">
        <f>IFERROR(INDEX(Tabel_forfaits[forfait VdM II voor berekening],MATCH(Tabel_opvolging2023[[#This Row],[Vaststelkategorie]],Tabel_forfaits[Zaakcode],0)), "n.v.t.")</f>
        <v>7</v>
      </c>
      <c r="O109" s="334">
        <f>IFERROR(ROUND(Tabel_opvolging2023[[#This Row],[forfait VdMII prc]]*$D$5,$D$8),  $D$6)</f>
        <v>2</v>
      </c>
      <c r="P109" s="334">
        <f>SUMIFS(bron_opvolging[toeslag opvolging AV],bron_opvolging[Jaar Besluit Rel1 Vas Datum],"2023",bron_opvolging[Vaststelkategorie],Tabel_opvolging2023[[#This Row],[Vaststelkategorie]]) / $D$6</f>
        <v>0</v>
      </c>
      <c r="Q109" s="334">
        <f>MIN($D$7,Tabel_opvolging2023[[#This Row],[forfait VdMII prc]])</f>
        <v>7</v>
      </c>
      <c r="R109" s="334">
        <f>IFERROR(ROUND(Tabel_opvolging2023[[#This Row],[forfait VdMII adv]]*$D$5,$D$8),  $D$6)</f>
        <v>2</v>
      </c>
      <c r="S109" s="334">
        <f>(Tabel_opvolging2023[[#This Row],[aantal opvolging procedure 2023]] * (Tabel_opvolging2023[[#This Row],[toeslag opvolging VdM II prc]]-$D$6)) + (Tabel_opvolging2023[[#This Row],[aantal opvolging advies 2023*]] * (Tabel_opvolging2023[[#This Row],[toeslag opvolging VdM II adv]]-$D$6))</f>
        <v>0</v>
      </c>
      <c r="T109" s="335">
        <f>Tabel_opvolging2023[[#This Row],[totaal extra punten t.o.v. huidige toeslag]] * tarief_huidig</f>
        <v>0</v>
      </c>
    </row>
    <row r="110" spans="2:20" x14ac:dyDescent="0.3">
      <c r="B110" s="328" t="s">
        <v>16</v>
      </c>
      <c r="C110"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0" s="334">
        <f>IFERROR(INDEX(Tabel_forfaits[forfait VdM II voor berekening],MATCH(Tabel_opvolging2022[[#This Row],[Vaststelkategorie]],Tabel_forfaits[Zaakcode],0)), "n.v.t.")</f>
        <v>11</v>
      </c>
      <c r="E110" s="334">
        <f t="shared" si="2"/>
        <v>3</v>
      </c>
      <c r="F110" s="337">
        <f>SUMIFS(bron_opvolging[toeslag opvolging AV],bron_opvolging[Jaar Besluit Rel1 Vas Datum],"2022",bron_opvolging[Vaststelkategorie],Tabel_opvolging2022[[#This Row],[Vaststelkategorie]]) / $D$6</f>
        <v>0</v>
      </c>
      <c r="G110" s="334">
        <f>MIN($D$7,Tabel_opvolging2022[[#This Row],[forfait VdMII prc]])</f>
        <v>10</v>
      </c>
      <c r="H110" s="334">
        <f>IFERROR(ROUND(Tabel_opvolging2022[[#This Row],[forfait VdMII adv]]*$D$5,$D$8),  $D$6)</f>
        <v>3</v>
      </c>
      <c r="I110" s="337">
        <f>(Tabel_opvolging2022[[#This Row],[aantal opvolging pocedure 2022]] * (Tabel_opvolging2022[[#This Row],[toeslag opvolging VdM II prc]]-$D$6)) + (Tabel_opvolging2022[[#This Row],[aantal opvolging advies 2022*]] * (Tabel_opvolging2022[[#This Row],[toeslag opvolging VdM II adv]]-$D$6))</f>
        <v>0</v>
      </c>
      <c r="J110" s="335">
        <f>Tabel_opvolging2022[[#This Row],[totaal extra punten t.o.v. huidige toeslag]] * tarief_huidig</f>
        <v>0</v>
      </c>
      <c r="L110" s="328" t="s">
        <v>16</v>
      </c>
      <c r="M110"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110" s="334">
        <f>IFERROR(INDEX(Tabel_forfaits[forfait VdM II voor berekening],MATCH(Tabel_opvolging2023[[#This Row],[Vaststelkategorie]],Tabel_forfaits[Zaakcode],0)), "n.v.t.")</f>
        <v>11</v>
      </c>
      <c r="O110" s="334">
        <f>IFERROR(ROUND(Tabel_opvolging2023[[#This Row],[forfait VdMII prc]]*$D$5,$D$8),  $D$6)</f>
        <v>3</v>
      </c>
      <c r="P110" s="334">
        <f>SUMIFS(bron_opvolging[toeslag opvolging AV],bron_opvolging[Jaar Besluit Rel1 Vas Datum],"2023",bron_opvolging[Vaststelkategorie],Tabel_opvolging2023[[#This Row],[Vaststelkategorie]]) / $D$6</f>
        <v>1</v>
      </c>
      <c r="Q110" s="334">
        <f>MIN($D$7,Tabel_opvolging2023[[#This Row],[forfait VdMII prc]])</f>
        <v>10</v>
      </c>
      <c r="R110" s="334">
        <f>IFERROR(ROUND(Tabel_opvolging2023[[#This Row],[forfait VdMII adv]]*$D$5,$D$8),  $D$6)</f>
        <v>3</v>
      </c>
      <c r="S110" s="334">
        <f>(Tabel_opvolging2023[[#This Row],[aantal opvolging procedure 2023]] * (Tabel_opvolging2023[[#This Row],[toeslag opvolging VdM II prc]]-$D$6)) + (Tabel_opvolging2023[[#This Row],[aantal opvolging advies 2023*]] * (Tabel_opvolging2023[[#This Row],[toeslag opvolging VdM II adv]]-$D$6))</f>
        <v>3</v>
      </c>
      <c r="T110" s="335">
        <f>Tabel_opvolging2023[[#This Row],[totaal extra punten t.o.v. huidige toeslag]] * tarief_huidig</f>
        <v>459.37649999999996</v>
      </c>
    </row>
    <row r="111" spans="2:20" x14ac:dyDescent="0.3">
      <c r="B111" s="328" t="s">
        <v>25</v>
      </c>
      <c r="C111"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1" s="334">
        <f>IFERROR(INDEX(Tabel_forfaits[forfait VdM II voor berekening],MATCH(Tabel_opvolging2022[[#This Row],[Vaststelkategorie]],Tabel_forfaits[Zaakcode],0)), "n.v.t.")</f>
        <v>9</v>
      </c>
      <c r="E111" s="334">
        <f t="shared" ref="E111:E116" si="3">IFERROR(ROUND(D111*$D$5,$D$8),  $D$6)</f>
        <v>2</v>
      </c>
      <c r="F111" s="337">
        <f>SUMIFS(bron_opvolging[toeslag opvolging AV],bron_opvolging[Jaar Besluit Rel1 Vas Datum],"2022",bron_opvolging[Vaststelkategorie],Tabel_opvolging2022[[#This Row],[Vaststelkategorie]]) / $D$6</f>
        <v>0</v>
      </c>
      <c r="G111" s="334">
        <f>MIN($D$7,Tabel_opvolging2022[[#This Row],[forfait VdMII prc]])</f>
        <v>9</v>
      </c>
      <c r="H111" s="334">
        <f>IFERROR(ROUND(Tabel_opvolging2022[[#This Row],[forfait VdMII adv]]*$D$5,$D$8),  $D$6)</f>
        <v>2</v>
      </c>
      <c r="I111" s="337">
        <f>(Tabel_opvolging2022[[#This Row],[aantal opvolging pocedure 2022]] * (Tabel_opvolging2022[[#This Row],[toeslag opvolging VdM II prc]]-$D$6)) + (Tabel_opvolging2022[[#This Row],[aantal opvolging advies 2022*]] * (Tabel_opvolging2022[[#This Row],[toeslag opvolging VdM II adv]]-$D$6))</f>
        <v>0</v>
      </c>
      <c r="J111" s="335">
        <f>Tabel_opvolging2022[[#This Row],[totaal extra punten t.o.v. huidige toeslag]] * tarief_huidig</f>
        <v>0</v>
      </c>
      <c r="L111" s="328" t="s">
        <v>25</v>
      </c>
      <c r="M111"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2</v>
      </c>
      <c r="N111" s="334">
        <f>IFERROR(INDEX(Tabel_forfaits[forfait VdM II voor berekening],MATCH(Tabel_opvolging2023[[#This Row],[Vaststelkategorie]],Tabel_forfaits[Zaakcode],0)), "n.v.t.")</f>
        <v>9</v>
      </c>
      <c r="O111" s="334">
        <f>IFERROR(ROUND(Tabel_opvolging2023[[#This Row],[forfait VdMII prc]]*$D$5,$D$8),  $D$6)</f>
        <v>2</v>
      </c>
      <c r="P111" s="334">
        <f>SUMIFS(bron_opvolging[toeslag opvolging AV],bron_opvolging[Jaar Besluit Rel1 Vas Datum],"2023",bron_opvolging[Vaststelkategorie],Tabel_opvolging2023[[#This Row],[Vaststelkategorie]]) / $D$6</f>
        <v>0</v>
      </c>
      <c r="Q111" s="334">
        <f>MIN($D$7,Tabel_opvolging2023[[#This Row],[forfait VdMII prc]])</f>
        <v>9</v>
      </c>
      <c r="R111" s="334">
        <f>IFERROR(ROUND(Tabel_opvolging2023[[#This Row],[forfait VdMII adv]]*$D$5,$D$8),  $D$6)</f>
        <v>2</v>
      </c>
      <c r="S111" s="334">
        <f>(Tabel_opvolging2023[[#This Row],[aantal opvolging procedure 2023]] * (Tabel_opvolging2023[[#This Row],[toeslag opvolging VdM II prc]]-$D$6)) + (Tabel_opvolging2023[[#This Row],[aantal opvolging advies 2023*]] * (Tabel_opvolging2023[[#This Row],[toeslag opvolging VdM II adv]]-$D$6))</f>
        <v>0</v>
      </c>
      <c r="T111" s="335">
        <f>Tabel_opvolging2023[[#This Row],[totaal extra punten t.o.v. huidige toeslag]] * tarief_huidig</f>
        <v>0</v>
      </c>
    </row>
    <row r="112" spans="2:20" x14ac:dyDescent="0.3">
      <c r="B112" s="328" t="s">
        <v>343</v>
      </c>
      <c r="C112"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2" s="334">
        <f>IFERROR(INDEX(Tabel_forfaits[forfait VdM II voor berekening],MATCH(Tabel_opvolging2022[[#This Row],[Vaststelkategorie]],Tabel_forfaits[Zaakcode],0)), "n.v.t.")</f>
        <v>8</v>
      </c>
      <c r="E112" s="334">
        <f t="shared" si="3"/>
        <v>2</v>
      </c>
      <c r="F112" s="337">
        <f>SUMIFS(bron_opvolging[toeslag opvolging AV],bron_opvolging[Jaar Besluit Rel1 Vas Datum],"2022",bron_opvolging[Vaststelkategorie],Tabel_opvolging2022[[#This Row],[Vaststelkategorie]]) / $D$6</f>
        <v>0</v>
      </c>
      <c r="G112" s="334">
        <f>MIN($D$7,Tabel_opvolging2022[[#This Row],[forfait VdMII prc]])</f>
        <v>8</v>
      </c>
      <c r="H112" s="334">
        <f>IFERROR(ROUND(Tabel_opvolging2022[[#This Row],[forfait VdMII adv]]*$D$5,$D$8),  $D$6)</f>
        <v>2</v>
      </c>
      <c r="I112" s="337">
        <f>(Tabel_opvolging2022[[#This Row],[aantal opvolging pocedure 2022]] * (Tabel_opvolging2022[[#This Row],[toeslag opvolging VdM II prc]]-$D$6)) + (Tabel_opvolging2022[[#This Row],[aantal opvolging advies 2022*]] * (Tabel_opvolging2022[[#This Row],[toeslag opvolging VdM II adv]]-$D$6))</f>
        <v>0</v>
      </c>
      <c r="J112" s="335">
        <f>Tabel_opvolging2022[[#This Row],[totaal extra punten t.o.v. huidige toeslag]] * tarief_huidig</f>
        <v>0</v>
      </c>
      <c r="L112" s="328" t="s">
        <v>343</v>
      </c>
      <c r="M112"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18</v>
      </c>
      <c r="N112" s="334">
        <f>IFERROR(INDEX(Tabel_forfaits[forfait VdM II voor berekening],MATCH(Tabel_opvolging2023[[#This Row],[Vaststelkategorie]],Tabel_forfaits[Zaakcode],0)), "n.v.t.")</f>
        <v>8</v>
      </c>
      <c r="O112" s="334">
        <f>IFERROR(ROUND(Tabel_opvolging2023[[#This Row],[forfait VdMII prc]]*$D$5,$D$8),  $D$6)</f>
        <v>2</v>
      </c>
      <c r="P112" s="334">
        <f>SUMIFS(bron_opvolging[toeslag opvolging AV],bron_opvolging[Jaar Besluit Rel1 Vas Datum],"2023",bron_opvolging[Vaststelkategorie],Tabel_opvolging2023[[#This Row],[Vaststelkategorie]]) / $D$6</f>
        <v>0</v>
      </c>
      <c r="Q112" s="334">
        <f>MIN($D$7,Tabel_opvolging2023[[#This Row],[forfait VdMII prc]])</f>
        <v>8</v>
      </c>
      <c r="R112" s="334">
        <f>IFERROR(ROUND(Tabel_opvolging2023[[#This Row],[forfait VdMII adv]]*$D$5,$D$8),  $D$6)</f>
        <v>2</v>
      </c>
      <c r="S112" s="334">
        <f>(Tabel_opvolging2023[[#This Row],[aantal opvolging procedure 2023]] * (Tabel_opvolging2023[[#This Row],[toeslag opvolging VdM II prc]]-$D$6)) + (Tabel_opvolging2023[[#This Row],[aantal opvolging advies 2023*]] * (Tabel_opvolging2023[[#This Row],[toeslag opvolging VdM II adv]]-$D$6))</f>
        <v>0</v>
      </c>
      <c r="T112" s="335">
        <f>Tabel_opvolging2023[[#This Row],[totaal extra punten t.o.v. huidige toeslag]] * tarief_huidig</f>
        <v>0</v>
      </c>
    </row>
    <row r="113" spans="2:20" x14ac:dyDescent="0.3">
      <c r="B113" s="328" t="s">
        <v>85</v>
      </c>
      <c r="C113"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3" s="334">
        <f>IFERROR(INDEX(Tabel_forfaits[forfait VdM II voor berekening],MATCH(Tabel_opvolging2022[[#This Row],[Vaststelkategorie]],Tabel_forfaits[Zaakcode],0)), "n.v.t.")</f>
        <v>13</v>
      </c>
      <c r="E113" s="334">
        <f t="shared" si="3"/>
        <v>3</v>
      </c>
      <c r="F113" s="337">
        <f>SUMIFS(bron_opvolging[toeslag opvolging AV],bron_opvolging[Jaar Besluit Rel1 Vas Datum],"2022",bron_opvolging[Vaststelkategorie],Tabel_opvolging2022[[#This Row],[Vaststelkategorie]]) / $D$6</f>
        <v>0</v>
      </c>
      <c r="G113" s="334">
        <f>MIN($D$7,Tabel_opvolging2022[[#This Row],[forfait VdMII prc]])</f>
        <v>10</v>
      </c>
      <c r="H113" s="334">
        <f>IFERROR(ROUND(Tabel_opvolging2022[[#This Row],[forfait VdMII adv]]*$D$5,$D$8),  $D$6)</f>
        <v>3</v>
      </c>
      <c r="I113" s="337">
        <f>(Tabel_opvolging2022[[#This Row],[aantal opvolging pocedure 2022]] * (Tabel_opvolging2022[[#This Row],[toeslag opvolging VdM II prc]]-$D$6)) + (Tabel_opvolging2022[[#This Row],[aantal opvolging advies 2022*]] * (Tabel_opvolging2022[[#This Row],[toeslag opvolging VdM II adv]]-$D$6))</f>
        <v>0</v>
      </c>
      <c r="J113" s="335">
        <f>Tabel_opvolging2022[[#This Row],[totaal extra punten t.o.v. huidige toeslag]] * tarief_huidig</f>
        <v>0</v>
      </c>
      <c r="L113" s="328" t="s">
        <v>85</v>
      </c>
      <c r="M113"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113" s="334">
        <f>IFERROR(INDEX(Tabel_forfaits[forfait VdM II voor berekening],MATCH(Tabel_opvolging2023[[#This Row],[Vaststelkategorie]],Tabel_forfaits[Zaakcode],0)), "n.v.t.")</f>
        <v>13</v>
      </c>
      <c r="O113" s="334">
        <f>IFERROR(ROUND(Tabel_opvolging2023[[#This Row],[forfait VdMII prc]]*$D$5,$D$8),  $D$6)</f>
        <v>3</v>
      </c>
      <c r="P113" s="334">
        <f>SUMIFS(bron_opvolging[toeslag opvolging AV],bron_opvolging[Jaar Besluit Rel1 Vas Datum],"2023",bron_opvolging[Vaststelkategorie],Tabel_opvolging2023[[#This Row],[Vaststelkategorie]]) / $D$6</f>
        <v>0</v>
      </c>
      <c r="Q113" s="334">
        <f>MIN($D$7,Tabel_opvolging2023[[#This Row],[forfait VdMII prc]])</f>
        <v>10</v>
      </c>
      <c r="R113" s="334">
        <f>IFERROR(ROUND(Tabel_opvolging2023[[#This Row],[forfait VdMII adv]]*$D$5,$D$8),  $D$6)</f>
        <v>3</v>
      </c>
      <c r="S113" s="334">
        <f>(Tabel_opvolging2023[[#This Row],[aantal opvolging procedure 2023]] * (Tabel_opvolging2023[[#This Row],[toeslag opvolging VdM II prc]]-$D$6)) + (Tabel_opvolging2023[[#This Row],[aantal opvolging advies 2023*]] * (Tabel_opvolging2023[[#This Row],[toeslag opvolging VdM II adv]]-$D$6))</f>
        <v>4</v>
      </c>
      <c r="T113" s="335">
        <f>Tabel_opvolging2023[[#This Row],[totaal extra punten t.o.v. huidige toeslag]] * tarief_huidig</f>
        <v>612.50199999999995</v>
      </c>
    </row>
    <row r="114" spans="2:20" x14ac:dyDescent="0.3">
      <c r="B114" s="328" t="s">
        <v>98</v>
      </c>
      <c r="C114"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4" s="334">
        <f>IFERROR(INDEX(Tabel_forfaits[forfait VdM II voor berekening],MATCH(Tabel_opvolging2022[[#This Row],[Vaststelkategorie]],Tabel_forfaits[Zaakcode],0)), "n.v.t.")</f>
        <v>6</v>
      </c>
      <c r="E114" s="334">
        <f t="shared" si="3"/>
        <v>2</v>
      </c>
      <c r="F114" s="337">
        <f>SUMIFS(bron_opvolging[toeslag opvolging AV],bron_opvolging[Jaar Besluit Rel1 Vas Datum],"2022",bron_opvolging[Vaststelkategorie],Tabel_opvolging2022[[#This Row],[Vaststelkategorie]]) / $D$6</f>
        <v>0</v>
      </c>
      <c r="G114" s="334">
        <f>MIN($D$7,Tabel_opvolging2022[[#This Row],[forfait VdMII prc]])</f>
        <v>6</v>
      </c>
      <c r="H114" s="334">
        <f>IFERROR(ROUND(Tabel_opvolging2022[[#This Row],[forfait VdMII adv]]*$D$5,$D$8),  $D$6)</f>
        <v>2</v>
      </c>
      <c r="I114" s="337">
        <f>(Tabel_opvolging2022[[#This Row],[aantal opvolging pocedure 2022]] * (Tabel_opvolging2022[[#This Row],[toeslag opvolging VdM II prc]]-$D$6)) + (Tabel_opvolging2022[[#This Row],[aantal opvolging advies 2022*]] * (Tabel_opvolging2022[[#This Row],[toeslag opvolging VdM II adv]]-$D$6))</f>
        <v>0</v>
      </c>
      <c r="J114" s="335">
        <f>Tabel_opvolging2022[[#This Row],[totaal extra punten t.o.v. huidige toeslag]] * tarief_huidig</f>
        <v>0</v>
      </c>
      <c r="L114" s="328" t="s">
        <v>98</v>
      </c>
      <c r="M114"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3</v>
      </c>
      <c r="N114" s="334">
        <f>IFERROR(INDEX(Tabel_forfaits[forfait VdM II voor berekening],MATCH(Tabel_opvolging2023[[#This Row],[Vaststelkategorie]],Tabel_forfaits[Zaakcode],0)), "n.v.t.")</f>
        <v>6</v>
      </c>
      <c r="O114" s="334">
        <f>IFERROR(ROUND(Tabel_opvolging2023[[#This Row],[forfait VdMII prc]]*$D$5,$D$8),  $D$6)</f>
        <v>2</v>
      </c>
      <c r="P114" s="334">
        <f>SUMIFS(bron_opvolging[toeslag opvolging AV],bron_opvolging[Jaar Besluit Rel1 Vas Datum],"2023",bron_opvolging[Vaststelkategorie],Tabel_opvolging2023[[#This Row],[Vaststelkategorie]]) / $D$6</f>
        <v>0</v>
      </c>
      <c r="Q114" s="334">
        <f>MIN($D$7,Tabel_opvolging2023[[#This Row],[forfait VdMII prc]])</f>
        <v>6</v>
      </c>
      <c r="R114" s="334">
        <f>IFERROR(ROUND(Tabel_opvolging2023[[#This Row],[forfait VdMII adv]]*$D$5,$D$8),  $D$6)</f>
        <v>2</v>
      </c>
      <c r="S114" s="334">
        <f>(Tabel_opvolging2023[[#This Row],[aantal opvolging procedure 2023]] * (Tabel_opvolging2023[[#This Row],[toeslag opvolging VdM II prc]]-$D$6)) + (Tabel_opvolging2023[[#This Row],[aantal opvolging advies 2023*]] * (Tabel_opvolging2023[[#This Row],[toeslag opvolging VdM II adv]]-$D$6))</f>
        <v>0</v>
      </c>
      <c r="T114" s="335">
        <f>Tabel_opvolging2023[[#This Row],[totaal extra punten t.o.v. huidige toeslag]] * tarief_huidig</f>
        <v>0</v>
      </c>
    </row>
    <row r="115" spans="2:20" x14ac:dyDescent="0.3">
      <c r="B115" s="328" t="s">
        <v>114</v>
      </c>
      <c r="C115"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5" s="334">
        <f>IFERROR(INDEX(Tabel_forfaits[forfait VdM II voor berekening],MATCH(Tabel_opvolging2022[[#This Row],[Vaststelkategorie]],Tabel_forfaits[Zaakcode],0)), "n.v.t.")</f>
        <v>6</v>
      </c>
      <c r="E115" s="334">
        <f t="shared" si="3"/>
        <v>2</v>
      </c>
      <c r="F115" s="337">
        <f>SUMIFS(bron_opvolging[toeslag opvolging AV],bron_opvolging[Jaar Besluit Rel1 Vas Datum],"2022",bron_opvolging[Vaststelkategorie],Tabel_opvolging2022[[#This Row],[Vaststelkategorie]]) / $D$6</f>
        <v>0</v>
      </c>
      <c r="G115" s="334">
        <f>MIN($D$7,Tabel_opvolging2022[[#This Row],[forfait VdMII prc]])</f>
        <v>6</v>
      </c>
      <c r="H115" s="334">
        <f>IFERROR(ROUND(Tabel_opvolging2022[[#This Row],[forfait VdMII adv]]*$D$5,$D$8),  $D$6)</f>
        <v>2</v>
      </c>
      <c r="I115" s="337">
        <f>(Tabel_opvolging2022[[#This Row],[aantal opvolging pocedure 2022]] * (Tabel_opvolging2022[[#This Row],[toeslag opvolging VdM II prc]]-$D$6)) + (Tabel_opvolging2022[[#This Row],[aantal opvolging advies 2022*]] * (Tabel_opvolging2022[[#This Row],[toeslag opvolging VdM II adv]]-$D$6))</f>
        <v>0</v>
      </c>
      <c r="J115" s="335">
        <f>Tabel_opvolging2022[[#This Row],[totaal extra punten t.o.v. huidige toeslag]] * tarief_huidig</f>
        <v>0</v>
      </c>
      <c r="L115" s="328" t="s">
        <v>114</v>
      </c>
      <c r="M115"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1</v>
      </c>
      <c r="N115" s="334">
        <f>IFERROR(INDEX(Tabel_forfaits[forfait VdM II voor berekening],MATCH(Tabel_opvolging2023[[#This Row],[Vaststelkategorie]],Tabel_forfaits[Zaakcode],0)), "n.v.t.")</f>
        <v>6</v>
      </c>
      <c r="O115" s="334">
        <f>IFERROR(ROUND(Tabel_opvolging2023[[#This Row],[forfait VdMII prc]]*$D$5,$D$8),  $D$6)</f>
        <v>2</v>
      </c>
      <c r="P115" s="334">
        <f>SUMIFS(bron_opvolging[toeslag opvolging AV],bron_opvolging[Jaar Besluit Rel1 Vas Datum],"2023",bron_opvolging[Vaststelkategorie],Tabel_opvolging2023[[#This Row],[Vaststelkategorie]]) / $D$6</f>
        <v>0</v>
      </c>
      <c r="Q115" s="334">
        <f>MIN($D$7,Tabel_opvolging2023[[#This Row],[forfait VdMII prc]])</f>
        <v>6</v>
      </c>
      <c r="R115" s="334">
        <f>IFERROR(ROUND(Tabel_opvolging2023[[#This Row],[forfait VdMII adv]]*$D$5,$D$8),  $D$6)</f>
        <v>2</v>
      </c>
      <c r="S115" s="334">
        <f>(Tabel_opvolging2023[[#This Row],[aantal opvolging procedure 2023]] * (Tabel_opvolging2023[[#This Row],[toeslag opvolging VdM II prc]]-$D$6)) + (Tabel_opvolging2023[[#This Row],[aantal opvolging advies 2023*]] * (Tabel_opvolging2023[[#This Row],[toeslag opvolging VdM II adv]]-$D$6))</f>
        <v>0</v>
      </c>
      <c r="T115" s="335">
        <f>Tabel_opvolging2023[[#This Row],[totaal extra punten t.o.v. huidige toeslag]] * tarief_huidig</f>
        <v>0</v>
      </c>
    </row>
    <row r="116" spans="2:20" x14ac:dyDescent="0.3">
      <c r="B116" s="328" t="s">
        <v>149</v>
      </c>
      <c r="C116" s="337">
        <f>(SUMIFS(bron_opvolging[toeslag opvolging C],bron_opvolging[Jaar Besluit Rel1 Vas Datum],"2022",bron_opvolging[Vaststelkategorie],Tabel_opvolging2022[[#This Row],[Vaststelkategorie]]) + SUMIFS(bron_opvolging[toeslag opvolging S],bron_opvolging[Jaar Besluit Rel1 Vas Datum],"2022",bron_opvolging[Vaststelkategorie],Tabel_opvolging2022[[#This Row],[Vaststelkategorie]])) / $D$6</f>
        <v>0</v>
      </c>
      <c r="D116" s="334">
        <f>IFERROR(INDEX(Tabel_forfaits[forfait VdM II voor berekening],MATCH(Tabel_opvolging2022[[#This Row],[Vaststelkategorie]],Tabel_forfaits[Zaakcode],0)), "n.v.t.")</f>
        <v>6</v>
      </c>
      <c r="E116" s="334">
        <f t="shared" si="3"/>
        <v>2</v>
      </c>
      <c r="F116" s="337">
        <f>SUMIFS(bron_opvolging[toeslag opvolging AV],bron_opvolging[Jaar Besluit Rel1 Vas Datum],"2022",bron_opvolging[Vaststelkategorie],Tabel_opvolging2022[[#This Row],[Vaststelkategorie]]) / $D$6</f>
        <v>0</v>
      </c>
      <c r="G116" s="334">
        <f>MIN($D$7,Tabel_opvolging2022[[#This Row],[forfait VdMII prc]])</f>
        <v>6</v>
      </c>
      <c r="H116" s="334">
        <f>IFERROR(ROUND(Tabel_opvolging2022[[#This Row],[forfait VdMII adv]]*$D$5,$D$8),  $D$6)</f>
        <v>2</v>
      </c>
      <c r="I116" s="337">
        <f>(Tabel_opvolging2022[[#This Row],[aantal opvolging pocedure 2022]] * (Tabel_opvolging2022[[#This Row],[toeslag opvolging VdM II prc]]-$D$6)) + (Tabel_opvolging2022[[#This Row],[aantal opvolging advies 2022*]] * (Tabel_opvolging2022[[#This Row],[toeslag opvolging VdM II adv]]-$D$6))</f>
        <v>0</v>
      </c>
      <c r="J116" s="335">
        <f>Tabel_opvolging2022[[#This Row],[totaal extra punten t.o.v. huidige toeslag]] * tarief_huidig</f>
        <v>0</v>
      </c>
      <c r="L116" s="328" t="s">
        <v>149</v>
      </c>
      <c r="M116" s="334">
        <f>(SUMIFS(bron_opvolging[toeslag opvolging C],bron_opvolging[Jaar Besluit Rel1 Vas Datum],"2023",bron_opvolging[Vaststelkategorie],Tabel_opvolging2023[[#This Row],[Vaststelkategorie]]) + SUMIFS(bron_opvolging[toeslag opvolging S],bron_opvolging[Jaar Besluit Rel1 Vas Datum],"2023",bron_opvolging[Vaststelkategorie],Tabel_opvolging2023[[#This Row],[Vaststelkategorie]])) / $D$6</f>
        <v>4</v>
      </c>
      <c r="N116" s="334">
        <f>IFERROR(INDEX(Tabel_forfaits[forfait VdM II voor berekening],MATCH(Tabel_opvolging2023[[#This Row],[Vaststelkategorie]],Tabel_forfaits[Zaakcode],0)), "n.v.t.")</f>
        <v>6</v>
      </c>
      <c r="O116" s="334">
        <f>IFERROR(ROUND(Tabel_opvolging2023[[#This Row],[forfait VdMII prc]]*$D$5,$D$8),  $D$6)</f>
        <v>2</v>
      </c>
      <c r="P116" s="334">
        <f>SUMIFS(bron_opvolging[toeslag opvolging AV],bron_opvolging[Jaar Besluit Rel1 Vas Datum],"2023",bron_opvolging[Vaststelkategorie],Tabel_opvolging2023[[#This Row],[Vaststelkategorie]]) / $D$6</f>
        <v>0</v>
      </c>
      <c r="Q116" s="334">
        <f>MIN($D$7,Tabel_opvolging2023[[#This Row],[forfait VdMII prc]])</f>
        <v>6</v>
      </c>
      <c r="R116" s="334">
        <f>IFERROR(ROUND(Tabel_opvolging2023[[#This Row],[forfait VdMII adv]]*$D$5,$D$8),  $D$6)</f>
        <v>2</v>
      </c>
      <c r="S116" s="334">
        <f>(Tabel_opvolging2023[[#This Row],[aantal opvolging procedure 2023]] * (Tabel_opvolging2023[[#This Row],[toeslag opvolging VdM II prc]]-$D$6)) + (Tabel_opvolging2023[[#This Row],[aantal opvolging advies 2023*]] * (Tabel_opvolging2023[[#This Row],[toeslag opvolging VdM II adv]]-$D$6))</f>
        <v>0</v>
      </c>
      <c r="T116" s="335">
        <f>Tabel_opvolging2023[[#This Row],[totaal extra punten t.o.v. huidige toeslag]] * tarief_huidig</f>
        <v>0</v>
      </c>
    </row>
    <row r="117" spans="2:20" x14ac:dyDescent="0.3">
      <c r="B117" s="309" t="s">
        <v>672</v>
      </c>
      <c r="C117" s="333">
        <f>SUM(C15:C116)</f>
        <v>7011</v>
      </c>
      <c r="F117" s="333">
        <f>SUM(F15:F116)</f>
        <v>224</v>
      </c>
      <c r="I117" s="333">
        <f>SUM(I15:I116)</f>
        <v>5224</v>
      </c>
      <c r="J117" s="332">
        <f>SUBTOTAL(109,Tabel_opvolging2022[totale extra kosten procentuele opvolgingstoeslag])</f>
        <v>799927.61199999973</v>
      </c>
      <c r="L117" s="309" t="s">
        <v>672</v>
      </c>
      <c r="M117" s="333">
        <f>SUM(M15:M116)</f>
        <v>7479</v>
      </c>
      <c r="P117" s="333">
        <f>SUM(P15:P116)</f>
        <v>216</v>
      </c>
      <c r="S117" s="333">
        <f>SUM(S15:S116)</f>
        <v>5168</v>
      </c>
      <c r="T117" s="332">
        <f>SUBTOTAL(109,Tabel_opvolging2023[totale extra kosten procentuele opvolgingstoeslag])</f>
        <v>791352.58399999992</v>
      </c>
    </row>
    <row r="118" spans="2:20" x14ac:dyDescent="0.3">
      <c r="B118" s="309" t="s">
        <v>682</v>
      </c>
    </row>
    <row r="123" spans="2:20" x14ac:dyDescent="0.3">
      <c r="B123" s="340" t="s">
        <v>689</v>
      </c>
    </row>
    <row r="124" spans="2:20" s="311" customFormat="1" ht="24" customHeight="1" x14ac:dyDescent="0.3">
      <c r="B124" s="321" t="s">
        <v>645</v>
      </c>
      <c r="C124" s="322" t="s">
        <v>646</v>
      </c>
      <c r="D124" s="322" t="s">
        <v>647</v>
      </c>
      <c r="E124" s="322" t="s">
        <v>648</v>
      </c>
      <c r="F124" s="322" t="s">
        <v>649</v>
      </c>
      <c r="G124" s="322" t="s">
        <v>650</v>
      </c>
      <c r="H124" s="323" t="s">
        <v>651</v>
      </c>
    </row>
    <row r="125" spans="2:20" s="311" customFormat="1" ht="19.75" customHeight="1" x14ac:dyDescent="0.3">
      <c r="B125" s="319">
        <v>2022</v>
      </c>
      <c r="C125" s="310" t="s">
        <v>7</v>
      </c>
      <c r="D125" s="312">
        <v>14</v>
      </c>
      <c r="E125" s="312"/>
      <c r="F125" s="312">
        <v>2</v>
      </c>
      <c r="G125" s="310" t="s">
        <v>652</v>
      </c>
      <c r="H125" s="320">
        <v>8</v>
      </c>
    </row>
    <row r="126" spans="2:20" s="311" customFormat="1" ht="19.75" customHeight="1" x14ac:dyDescent="0.3">
      <c r="B126" s="319">
        <v>2022</v>
      </c>
      <c r="C126" s="310" t="s">
        <v>8</v>
      </c>
      <c r="D126" s="312">
        <v>2</v>
      </c>
      <c r="E126" s="312"/>
      <c r="F126" s="312"/>
      <c r="G126" s="310" t="s">
        <v>652</v>
      </c>
      <c r="H126" s="320">
        <v>1</v>
      </c>
    </row>
    <row r="127" spans="2:20" s="311" customFormat="1" ht="19.75" customHeight="1" x14ac:dyDescent="0.3">
      <c r="B127" s="319">
        <v>2022</v>
      </c>
      <c r="C127" s="310" t="s">
        <v>10</v>
      </c>
      <c r="D127" s="312">
        <v>8</v>
      </c>
      <c r="E127" s="312"/>
      <c r="F127" s="312">
        <v>6</v>
      </c>
      <c r="G127" s="310" t="s">
        <v>652</v>
      </c>
      <c r="H127" s="320">
        <v>7</v>
      </c>
    </row>
    <row r="128" spans="2:20" s="311" customFormat="1" ht="19.75" customHeight="1" x14ac:dyDescent="0.3">
      <c r="B128" s="319">
        <v>2022</v>
      </c>
      <c r="C128" s="310" t="s">
        <v>11</v>
      </c>
      <c r="D128" s="312">
        <v>6</v>
      </c>
      <c r="E128" s="312"/>
      <c r="F128" s="312">
        <v>22</v>
      </c>
      <c r="G128" s="310" t="s">
        <v>652</v>
      </c>
      <c r="H128" s="320">
        <v>14</v>
      </c>
    </row>
    <row r="129" spans="2:8" s="311" customFormat="1" ht="19.75" customHeight="1" x14ac:dyDescent="0.3">
      <c r="B129" s="319">
        <v>2022</v>
      </c>
      <c r="C129" s="310" t="s">
        <v>12</v>
      </c>
      <c r="D129" s="312">
        <v>26</v>
      </c>
      <c r="E129" s="312"/>
      <c r="F129" s="312">
        <v>20</v>
      </c>
      <c r="G129" s="310" t="s">
        <v>652</v>
      </c>
      <c r="H129" s="320">
        <v>23</v>
      </c>
    </row>
    <row r="130" spans="2:8" s="311" customFormat="1" ht="19.75" customHeight="1" x14ac:dyDescent="0.3">
      <c r="B130" s="319">
        <v>2022</v>
      </c>
      <c r="C130" s="310" t="s">
        <v>13</v>
      </c>
      <c r="D130" s="312">
        <v>4</v>
      </c>
      <c r="E130" s="312"/>
      <c r="F130" s="312">
        <v>10</v>
      </c>
      <c r="G130" s="310" t="s">
        <v>652</v>
      </c>
      <c r="H130" s="320">
        <v>7</v>
      </c>
    </row>
    <row r="131" spans="2:8" s="311" customFormat="1" ht="19.75" customHeight="1" x14ac:dyDescent="0.3">
      <c r="B131" s="319">
        <v>2022</v>
      </c>
      <c r="C131" s="310" t="s">
        <v>14</v>
      </c>
      <c r="D131" s="312">
        <v>54</v>
      </c>
      <c r="E131" s="312"/>
      <c r="F131" s="312"/>
      <c r="G131" s="310" t="s">
        <v>652</v>
      </c>
      <c r="H131" s="320">
        <v>27</v>
      </c>
    </row>
    <row r="132" spans="2:8" s="311" customFormat="1" ht="19.75" customHeight="1" x14ac:dyDescent="0.3">
      <c r="B132" s="319">
        <v>2022</v>
      </c>
      <c r="C132" s="310" t="s">
        <v>17</v>
      </c>
      <c r="D132" s="312">
        <v>96</v>
      </c>
      <c r="E132" s="312"/>
      <c r="F132" s="312">
        <v>2</v>
      </c>
      <c r="G132" s="310" t="s">
        <v>652</v>
      </c>
      <c r="H132" s="320">
        <v>43</v>
      </c>
    </row>
    <row r="133" spans="2:8" s="311" customFormat="1" ht="19.75" customHeight="1" x14ac:dyDescent="0.3">
      <c r="B133" s="319">
        <v>2022</v>
      </c>
      <c r="C133" s="310" t="s">
        <v>18</v>
      </c>
      <c r="D133" s="312">
        <v>2</v>
      </c>
      <c r="E133" s="312"/>
      <c r="F133" s="312"/>
      <c r="G133" s="310" t="s">
        <v>652</v>
      </c>
      <c r="H133" s="320">
        <v>1</v>
      </c>
    </row>
    <row r="134" spans="2:8" s="311" customFormat="1" ht="19.75" customHeight="1" x14ac:dyDescent="0.3">
      <c r="B134" s="319">
        <v>2022</v>
      </c>
      <c r="C134" s="310" t="s">
        <v>20</v>
      </c>
      <c r="D134" s="312">
        <v>38</v>
      </c>
      <c r="E134" s="312"/>
      <c r="F134" s="312"/>
      <c r="G134" s="310" t="s">
        <v>652</v>
      </c>
      <c r="H134" s="320">
        <v>16</v>
      </c>
    </row>
    <row r="135" spans="2:8" s="311" customFormat="1" ht="19.75" customHeight="1" x14ac:dyDescent="0.3">
      <c r="B135" s="319">
        <v>2022</v>
      </c>
      <c r="C135" s="310" t="s">
        <v>21</v>
      </c>
      <c r="D135" s="312">
        <v>6</v>
      </c>
      <c r="E135" s="312"/>
      <c r="F135" s="312"/>
      <c r="G135" s="310" t="s">
        <v>652</v>
      </c>
      <c r="H135" s="320">
        <v>3</v>
      </c>
    </row>
    <row r="136" spans="2:8" s="311" customFormat="1" ht="19.75" customHeight="1" x14ac:dyDescent="0.3">
      <c r="B136" s="319">
        <v>2022</v>
      </c>
      <c r="C136" s="310" t="s">
        <v>22</v>
      </c>
      <c r="D136" s="312">
        <v>6</v>
      </c>
      <c r="E136" s="312"/>
      <c r="F136" s="312"/>
      <c r="G136" s="310" t="s">
        <v>652</v>
      </c>
      <c r="H136" s="320">
        <v>3</v>
      </c>
    </row>
    <row r="137" spans="2:8" s="311" customFormat="1" ht="19.75" customHeight="1" x14ac:dyDescent="0.3">
      <c r="B137" s="319">
        <v>2022</v>
      </c>
      <c r="C137" s="310" t="s">
        <v>23</v>
      </c>
      <c r="D137" s="312">
        <v>84</v>
      </c>
      <c r="E137" s="312"/>
      <c r="F137" s="312">
        <v>2</v>
      </c>
      <c r="G137" s="310" t="s">
        <v>652</v>
      </c>
      <c r="H137" s="320">
        <v>41</v>
      </c>
    </row>
    <row r="138" spans="2:8" s="311" customFormat="1" ht="19.75" customHeight="1" x14ac:dyDescent="0.3">
      <c r="B138" s="319">
        <v>2022</v>
      </c>
      <c r="C138" s="310" t="s">
        <v>24</v>
      </c>
      <c r="D138" s="312">
        <v>36</v>
      </c>
      <c r="E138" s="312"/>
      <c r="F138" s="312"/>
      <c r="G138" s="310" t="s">
        <v>652</v>
      </c>
      <c r="H138" s="320">
        <v>18</v>
      </c>
    </row>
    <row r="139" spans="2:8" s="311" customFormat="1" ht="19.75" customHeight="1" x14ac:dyDescent="0.3">
      <c r="B139" s="319">
        <v>2022</v>
      </c>
      <c r="C139" s="310" t="s">
        <v>26</v>
      </c>
      <c r="D139" s="312">
        <v>20</v>
      </c>
      <c r="E139" s="312"/>
      <c r="F139" s="312">
        <v>8</v>
      </c>
      <c r="G139" s="310" t="s">
        <v>652</v>
      </c>
      <c r="H139" s="320">
        <v>14</v>
      </c>
    </row>
    <row r="140" spans="2:8" s="311" customFormat="1" ht="19.75" customHeight="1" x14ac:dyDescent="0.3">
      <c r="B140" s="319">
        <v>2022</v>
      </c>
      <c r="C140" s="310" t="s">
        <v>27</v>
      </c>
      <c r="D140" s="312">
        <v>2</v>
      </c>
      <c r="E140" s="312"/>
      <c r="F140" s="312">
        <v>2</v>
      </c>
      <c r="G140" s="310" t="s">
        <v>652</v>
      </c>
      <c r="H140" s="320">
        <v>2</v>
      </c>
    </row>
    <row r="141" spans="2:8" s="311" customFormat="1" ht="19.75" customHeight="1" x14ac:dyDescent="0.3">
      <c r="B141" s="319">
        <v>2022</v>
      </c>
      <c r="C141" s="310" t="s">
        <v>28</v>
      </c>
      <c r="D141" s="312">
        <v>10</v>
      </c>
      <c r="E141" s="312"/>
      <c r="F141" s="312">
        <v>6</v>
      </c>
      <c r="G141" s="310" t="s">
        <v>652</v>
      </c>
      <c r="H141" s="320">
        <v>8</v>
      </c>
    </row>
    <row r="142" spans="2:8" s="311" customFormat="1" ht="19.75" customHeight="1" x14ac:dyDescent="0.3">
      <c r="B142" s="319">
        <v>2022</v>
      </c>
      <c r="C142" s="310" t="s">
        <v>29</v>
      </c>
      <c r="D142" s="312">
        <v>66</v>
      </c>
      <c r="E142" s="312"/>
      <c r="F142" s="312">
        <v>14</v>
      </c>
      <c r="G142" s="310" t="s">
        <v>652</v>
      </c>
      <c r="H142" s="320">
        <v>40</v>
      </c>
    </row>
    <row r="143" spans="2:8" s="311" customFormat="1" ht="19.75" customHeight="1" x14ac:dyDescent="0.3">
      <c r="B143" s="319">
        <v>2022</v>
      </c>
      <c r="C143" s="310" t="s">
        <v>30</v>
      </c>
      <c r="D143" s="312">
        <v>14</v>
      </c>
      <c r="E143" s="312"/>
      <c r="F143" s="312">
        <v>12</v>
      </c>
      <c r="G143" s="310" t="s">
        <v>652</v>
      </c>
      <c r="H143" s="320">
        <v>13</v>
      </c>
    </row>
    <row r="144" spans="2:8" s="311" customFormat="1" ht="19.75" customHeight="1" x14ac:dyDescent="0.3">
      <c r="B144" s="319">
        <v>2022</v>
      </c>
      <c r="C144" s="310" t="s">
        <v>31</v>
      </c>
      <c r="D144" s="312">
        <v>6</v>
      </c>
      <c r="E144" s="312"/>
      <c r="F144" s="312"/>
      <c r="G144" s="310" t="s">
        <v>652</v>
      </c>
      <c r="H144" s="320">
        <v>3</v>
      </c>
    </row>
    <row r="145" spans="2:8" s="311" customFormat="1" ht="19.75" customHeight="1" x14ac:dyDescent="0.3">
      <c r="B145" s="319">
        <v>2022</v>
      </c>
      <c r="C145" s="310" t="s">
        <v>32</v>
      </c>
      <c r="D145" s="312">
        <v>34</v>
      </c>
      <c r="E145" s="312"/>
      <c r="F145" s="312">
        <v>26</v>
      </c>
      <c r="G145" s="310" t="s">
        <v>652</v>
      </c>
      <c r="H145" s="320">
        <v>30</v>
      </c>
    </row>
    <row r="146" spans="2:8" s="311" customFormat="1" ht="19.75" customHeight="1" x14ac:dyDescent="0.3">
      <c r="B146" s="319">
        <v>2022</v>
      </c>
      <c r="C146" s="310" t="s">
        <v>36</v>
      </c>
      <c r="D146" s="312">
        <v>2</v>
      </c>
      <c r="E146" s="312"/>
      <c r="F146" s="312"/>
      <c r="G146" s="310" t="s">
        <v>652</v>
      </c>
      <c r="H146" s="320">
        <v>1</v>
      </c>
    </row>
    <row r="147" spans="2:8" s="311" customFormat="1" ht="19.75" customHeight="1" x14ac:dyDescent="0.3">
      <c r="B147" s="319">
        <v>2022</v>
      </c>
      <c r="C147" s="310" t="s">
        <v>54</v>
      </c>
      <c r="D147" s="312">
        <v>32</v>
      </c>
      <c r="E147" s="312"/>
      <c r="F147" s="312">
        <v>18</v>
      </c>
      <c r="G147" s="310" t="s">
        <v>652</v>
      </c>
      <c r="H147" s="320">
        <v>25</v>
      </c>
    </row>
    <row r="148" spans="2:8" s="311" customFormat="1" ht="19.75" customHeight="1" x14ac:dyDescent="0.3">
      <c r="B148" s="319">
        <v>2022</v>
      </c>
      <c r="C148" s="310" t="s">
        <v>55</v>
      </c>
      <c r="D148" s="312">
        <v>2</v>
      </c>
      <c r="E148" s="312"/>
      <c r="F148" s="312">
        <v>4</v>
      </c>
      <c r="G148" s="310" t="s">
        <v>652</v>
      </c>
      <c r="H148" s="320">
        <v>3</v>
      </c>
    </row>
    <row r="149" spans="2:8" s="311" customFormat="1" ht="19.75" customHeight="1" x14ac:dyDescent="0.3">
      <c r="B149" s="319">
        <v>2022</v>
      </c>
      <c r="C149" s="310" t="s">
        <v>56</v>
      </c>
      <c r="D149" s="312">
        <v>4</v>
      </c>
      <c r="E149" s="312"/>
      <c r="F149" s="312">
        <v>6</v>
      </c>
      <c r="G149" s="310" t="s">
        <v>652</v>
      </c>
      <c r="H149" s="320">
        <v>5</v>
      </c>
    </row>
    <row r="150" spans="2:8" s="311" customFormat="1" ht="19.75" customHeight="1" x14ac:dyDescent="0.3">
      <c r="B150" s="319">
        <v>2022</v>
      </c>
      <c r="C150" s="310" t="s">
        <v>57</v>
      </c>
      <c r="D150" s="312">
        <v>176</v>
      </c>
      <c r="E150" s="312"/>
      <c r="F150" s="312">
        <v>6</v>
      </c>
      <c r="G150" s="310" t="s">
        <v>652</v>
      </c>
      <c r="H150" s="320">
        <v>77</v>
      </c>
    </row>
    <row r="151" spans="2:8" s="311" customFormat="1" ht="19.75" customHeight="1" x14ac:dyDescent="0.3">
      <c r="B151" s="319">
        <v>2022</v>
      </c>
      <c r="C151" s="310" t="s">
        <v>58</v>
      </c>
      <c r="D151" s="312">
        <v>16</v>
      </c>
      <c r="E151" s="312"/>
      <c r="F151" s="312">
        <v>4</v>
      </c>
      <c r="G151" s="310" t="s">
        <v>652</v>
      </c>
      <c r="H151" s="320">
        <v>10</v>
      </c>
    </row>
    <row r="152" spans="2:8" s="311" customFormat="1" ht="19.75" customHeight="1" x14ac:dyDescent="0.3">
      <c r="B152" s="319">
        <v>2022</v>
      </c>
      <c r="C152" s="310" t="s">
        <v>59</v>
      </c>
      <c r="D152" s="312">
        <v>88</v>
      </c>
      <c r="E152" s="312"/>
      <c r="F152" s="312">
        <v>36</v>
      </c>
      <c r="G152" s="310" t="s">
        <v>652</v>
      </c>
      <c r="H152" s="320">
        <v>62</v>
      </c>
    </row>
    <row r="153" spans="2:8" s="311" customFormat="1" ht="19.75" customHeight="1" x14ac:dyDescent="0.3">
      <c r="B153" s="319">
        <v>2022</v>
      </c>
      <c r="C153" s="310" t="s">
        <v>60</v>
      </c>
      <c r="D153" s="312">
        <v>2</v>
      </c>
      <c r="E153" s="312"/>
      <c r="F153" s="312"/>
      <c r="G153" s="310" t="s">
        <v>652</v>
      </c>
      <c r="H153" s="320">
        <v>1</v>
      </c>
    </row>
    <row r="154" spans="2:8" s="311" customFormat="1" ht="19.75" customHeight="1" x14ac:dyDescent="0.3">
      <c r="B154" s="319">
        <v>2022</v>
      </c>
      <c r="C154" s="310" t="s">
        <v>61</v>
      </c>
      <c r="D154" s="312">
        <v>10</v>
      </c>
      <c r="E154" s="312"/>
      <c r="F154" s="312">
        <v>16</v>
      </c>
      <c r="G154" s="310" t="s">
        <v>652</v>
      </c>
      <c r="H154" s="320">
        <v>13</v>
      </c>
    </row>
    <row r="155" spans="2:8" s="311" customFormat="1" ht="19.75" customHeight="1" x14ac:dyDescent="0.3">
      <c r="B155" s="319">
        <v>2022</v>
      </c>
      <c r="C155" s="310" t="s">
        <v>62</v>
      </c>
      <c r="D155" s="312"/>
      <c r="E155" s="312"/>
      <c r="F155" s="312">
        <v>2</v>
      </c>
      <c r="G155" s="310" t="s">
        <v>652</v>
      </c>
      <c r="H155" s="320">
        <v>1</v>
      </c>
    </row>
    <row r="156" spans="2:8" s="311" customFormat="1" ht="19.75" customHeight="1" x14ac:dyDescent="0.3">
      <c r="B156" s="319">
        <v>2022</v>
      </c>
      <c r="C156" s="310" t="s">
        <v>64</v>
      </c>
      <c r="D156" s="312">
        <v>2</v>
      </c>
      <c r="E156" s="312"/>
      <c r="F156" s="312">
        <v>14</v>
      </c>
      <c r="G156" s="310" t="s">
        <v>652</v>
      </c>
      <c r="H156" s="320">
        <v>8</v>
      </c>
    </row>
    <row r="157" spans="2:8" s="311" customFormat="1" ht="19.75" customHeight="1" x14ac:dyDescent="0.3">
      <c r="B157" s="319">
        <v>2022</v>
      </c>
      <c r="C157" s="310" t="s">
        <v>65</v>
      </c>
      <c r="D157" s="312"/>
      <c r="E157" s="312"/>
      <c r="F157" s="312">
        <v>2</v>
      </c>
      <c r="G157" s="310" t="s">
        <v>652</v>
      </c>
      <c r="H157" s="320">
        <v>1</v>
      </c>
    </row>
    <row r="158" spans="2:8" s="311" customFormat="1" ht="19.75" customHeight="1" x14ac:dyDescent="0.3">
      <c r="B158" s="319">
        <v>2022</v>
      </c>
      <c r="C158" s="310" t="s">
        <v>68</v>
      </c>
      <c r="D158" s="312">
        <v>556</v>
      </c>
      <c r="E158" s="312"/>
      <c r="F158" s="312">
        <v>24</v>
      </c>
      <c r="G158" s="310" t="s">
        <v>652</v>
      </c>
      <c r="H158" s="320">
        <v>290</v>
      </c>
    </row>
    <row r="159" spans="2:8" s="311" customFormat="1" ht="19.75" customHeight="1" x14ac:dyDescent="0.3">
      <c r="B159" s="319">
        <v>2022</v>
      </c>
      <c r="C159" s="310" t="s">
        <v>69</v>
      </c>
      <c r="D159" s="312">
        <v>2</v>
      </c>
      <c r="E159" s="312"/>
      <c r="F159" s="312"/>
      <c r="G159" s="310" t="s">
        <v>652</v>
      </c>
      <c r="H159" s="320">
        <v>1</v>
      </c>
    </row>
    <row r="160" spans="2:8" s="311" customFormat="1" ht="19.75" customHeight="1" x14ac:dyDescent="0.3">
      <c r="B160" s="319">
        <v>2022</v>
      </c>
      <c r="C160" s="310" t="s">
        <v>70</v>
      </c>
      <c r="D160" s="312">
        <v>202</v>
      </c>
      <c r="E160" s="312"/>
      <c r="F160" s="312">
        <v>24</v>
      </c>
      <c r="G160" s="310" t="s">
        <v>652</v>
      </c>
      <c r="H160" s="320">
        <v>113</v>
      </c>
    </row>
    <row r="161" spans="2:8" s="311" customFormat="1" ht="19.75" customHeight="1" x14ac:dyDescent="0.3">
      <c r="B161" s="319">
        <v>2022</v>
      </c>
      <c r="C161" s="310" t="s">
        <v>72</v>
      </c>
      <c r="D161" s="312">
        <v>48</v>
      </c>
      <c r="E161" s="312"/>
      <c r="F161" s="312">
        <v>8</v>
      </c>
      <c r="G161" s="310" t="s">
        <v>652</v>
      </c>
      <c r="H161" s="320">
        <v>28</v>
      </c>
    </row>
    <row r="162" spans="2:8" s="311" customFormat="1" ht="19.75" customHeight="1" x14ac:dyDescent="0.3">
      <c r="B162" s="319">
        <v>2022</v>
      </c>
      <c r="C162" s="310" t="s">
        <v>73</v>
      </c>
      <c r="D162" s="312">
        <v>22</v>
      </c>
      <c r="E162" s="312"/>
      <c r="F162" s="312">
        <v>2</v>
      </c>
      <c r="G162" s="310" t="s">
        <v>652</v>
      </c>
      <c r="H162" s="320">
        <v>12</v>
      </c>
    </row>
    <row r="163" spans="2:8" s="311" customFormat="1" ht="19.75" customHeight="1" x14ac:dyDescent="0.3">
      <c r="B163" s="319">
        <v>2022</v>
      </c>
      <c r="C163" s="310" t="s">
        <v>74</v>
      </c>
      <c r="D163" s="312">
        <v>2</v>
      </c>
      <c r="E163" s="312"/>
      <c r="F163" s="312"/>
      <c r="G163" s="310" t="s">
        <v>652</v>
      </c>
      <c r="H163" s="320">
        <v>1</v>
      </c>
    </row>
    <row r="164" spans="2:8" s="311" customFormat="1" ht="19.75" customHeight="1" x14ac:dyDescent="0.3">
      <c r="B164" s="319">
        <v>2022</v>
      </c>
      <c r="C164" s="310" t="s">
        <v>75</v>
      </c>
      <c r="D164" s="312">
        <v>212</v>
      </c>
      <c r="E164" s="312"/>
      <c r="F164" s="312">
        <v>42</v>
      </c>
      <c r="G164" s="310" t="s">
        <v>652</v>
      </c>
      <c r="H164" s="320">
        <v>126</v>
      </c>
    </row>
    <row r="165" spans="2:8" s="311" customFormat="1" ht="19.75" customHeight="1" x14ac:dyDescent="0.3">
      <c r="B165" s="319">
        <v>2022</v>
      </c>
      <c r="C165" s="310" t="s">
        <v>76</v>
      </c>
      <c r="D165" s="312">
        <v>170</v>
      </c>
      <c r="E165" s="312"/>
      <c r="F165" s="312">
        <v>12</v>
      </c>
      <c r="G165" s="310" t="s">
        <v>652</v>
      </c>
      <c r="H165" s="320">
        <v>91</v>
      </c>
    </row>
    <row r="166" spans="2:8" s="311" customFormat="1" ht="19.75" customHeight="1" x14ac:dyDescent="0.3">
      <c r="B166" s="319">
        <v>2022</v>
      </c>
      <c r="C166" s="310" t="s">
        <v>77</v>
      </c>
      <c r="D166" s="312">
        <v>368</v>
      </c>
      <c r="E166" s="312"/>
      <c r="F166" s="312">
        <v>50</v>
      </c>
      <c r="G166" s="310" t="s">
        <v>652</v>
      </c>
      <c r="H166" s="320">
        <v>207</v>
      </c>
    </row>
    <row r="167" spans="2:8" s="311" customFormat="1" ht="19.75" customHeight="1" x14ac:dyDescent="0.3">
      <c r="B167" s="319">
        <v>2022</v>
      </c>
      <c r="C167" s="310" t="s">
        <v>78</v>
      </c>
      <c r="D167" s="312">
        <v>84</v>
      </c>
      <c r="E167" s="312"/>
      <c r="F167" s="312"/>
      <c r="G167" s="310" t="s">
        <v>652</v>
      </c>
      <c r="H167" s="320">
        <v>42</v>
      </c>
    </row>
    <row r="168" spans="2:8" s="311" customFormat="1" ht="19.75" customHeight="1" x14ac:dyDescent="0.3">
      <c r="B168" s="319">
        <v>2022</v>
      </c>
      <c r="C168" s="310" t="s">
        <v>79</v>
      </c>
      <c r="D168" s="312">
        <v>196</v>
      </c>
      <c r="E168" s="312"/>
      <c r="F168" s="312">
        <v>4</v>
      </c>
      <c r="G168" s="310" t="s">
        <v>652</v>
      </c>
      <c r="H168" s="320">
        <v>95</v>
      </c>
    </row>
    <row r="169" spans="2:8" s="311" customFormat="1" ht="19.75" customHeight="1" x14ac:dyDescent="0.3">
      <c r="B169" s="319">
        <v>2022</v>
      </c>
      <c r="C169" s="310" t="s">
        <v>80</v>
      </c>
      <c r="D169" s="312">
        <v>26</v>
      </c>
      <c r="E169" s="312"/>
      <c r="F169" s="312">
        <v>16</v>
      </c>
      <c r="G169" s="310" t="s">
        <v>652</v>
      </c>
      <c r="H169" s="320">
        <v>21</v>
      </c>
    </row>
    <row r="170" spans="2:8" s="311" customFormat="1" ht="19.75" customHeight="1" x14ac:dyDescent="0.3">
      <c r="B170" s="319">
        <v>2022</v>
      </c>
      <c r="C170" s="310" t="s">
        <v>81</v>
      </c>
      <c r="D170" s="312">
        <v>2</v>
      </c>
      <c r="E170" s="312"/>
      <c r="F170" s="312"/>
      <c r="G170" s="310" t="s">
        <v>652</v>
      </c>
      <c r="H170" s="320">
        <v>1</v>
      </c>
    </row>
    <row r="171" spans="2:8" s="311" customFormat="1" ht="19.75" customHeight="1" x14ac:dyDescent="0.3">
      <c r="B171" s="319">
        <v>2022</v>
      </c>
      <c r="C171" s="310" t="s">
        <v>82</v>
      </c>
      <c r="D171" s="312">
        <v>34</v>
      </c>
      <c r="E171" s="312"/>
      <c r="F171" s="312"/>
      <c r="G171" s="310" t="s">
        <v>652</v>
      </c>
      <c r="H171" s="320">
        <v>17</v>
      </c>
    </row>
    <row r="172" spans="2:8" s="311" customFormat="1" ht="19.75" customHeight="1" x14ac:dyDescent="0.3">
      <c r="B172" s="319">
        <v>2022</v>
      </c>
      <c r="C172" s="310" t="s">
        <v>83</v>
      </c>
      <c r="D172" s="312">
        <v>2</v>
      </c>
      <c r="E172" s="312"/>
      <c r="F172" s="312"/>
      <c r="G172" s="310" t="s">
        <v>652</v>
      </c>
      <c r="H172" s="320">
        <v>1</v>
      </c>
    </row>
    <row r="173" spans="2:8" s="311" customFormat="1" ht="19.75" customHeight="1" x14ac:dyDescent="0.3">
      <c r="B173" s="319">
        <v>2022</v>
      </c>
      <c r="C173" s="310" t="s">
        <v>84</v>
      </c>
      <c r="D173" s="312">
        <v>14</v>
      </c>
      <c r="E173" s="312"/>
      <c r="F173" s="312">
        <v>4</v>
      </c>
      <c r="G173" s="310" t="s">
        <v>652</v>
      </c>
      <c r="H173" s="320">
        <v>9</v>
      </c>
    </row>
    <row r="174" spans="2:8" s="311" customFormat="1" ht="19.75" customHeight="1" x14ac:dyDescent="0.3">
      <c r="B174" s="319">
        <v>2022</v>
      </c>
      <c r="C174" s="310" t="s">
        <v>86</v>
      </c>
      <c r="D174" s="312">
        <v>80</v>
      </c>
      <c r="E174" s="312"/>
      <c r="F174" s="312">
        <v>10</v>
      </c>
      <c r="G174" s="310" t="s">
        <v>652</v>
      </c>
      <c r="H174" s="320">
        <v>45</v>
      </c>
    </row>
    <row r="175" spans="2:8" s="311" customFormat="1" ht="19.75" customHeight="1" x14ac:dyDescent="0.3">
      <c r="B175" s="319">
        <v>2022</v>
      </c>
      <c r="C175" s="310" t="s">
        <v>87</v>
      </c>
      <c r="D175" s="312">
        <v>14</v>
      </c>
      <c r="E175" s="312"/>
      <c r="F175" s="312">
        <v>6</v>
      </c>
      <c r="G175" s="310" t="s">
        <v>652</v>
      </c>
      <c r="H175" s="320">
        <v>10</v>
      </c>
    </row>
    <row r="176" spans="2:8" s="311" customFormat="1" ht="19.75" customHeight="1" x14ac:dyDescent="0.3">
      <c r="B176" s="319">
        <v>2022</v>
      </c>
      <c r="C176" s="310" t="s">
        <v>88</v>
      </c>
      <c r="D176" s="312"/>
      <c r="E176" s="312">
        <v>46</v>
      </c>
      <c r="F176" s="312"/>
      <c r="G176" s="310" t="s">
        <v>652</v>
      </c>
      <c r="H176" s="320">
        <v>20</v>
      </c>
    </row>
    <row r="177" spans="2:8" s="311" customFormat="1" ht="19.75" customHeight="1" x14ac:dyDescent="0.3">
      <c r="B177" s="319">
        <v>2022</v>
      </c>
      <c r="C177" s="310" t="s">
        <v>89</v>
      </c>
      <c r="D177" s="312"/>
      <c r="E177" s="312">
        <v>818</v>
      </c>
      <c r="F177" s="312"/>
      <c r="G177" s="310" t="s">
        <v>652</v>
      </c>
      <c r="H177" s="320">
        <v>386</v>
      </c>
    </row>
    <row r="178" spans="2:8" s="311" customFormat="1" ht="19.75" customHeight="1" x14ac:dyDescent="0.3">
      <c r="B178" s="319">
        <v>2022</v>
      </c>
      <c r="C178" s="310" t="s">
        <v>90</v>
      </c>
      <c r="D178" s="312"/>
      <c r="E178" s="312">
        <v>42</v>
      </c>
      <c r="F178" s="312"/>
      <c r="G178" s="310" t="s">
        <v>652</v>
      </c>
      <c r="H178" s="320">
        <v>21</v>
      </c>
    </row>
    <row r="179" spans="2:8" s="311" customFormat="1" ht="19.75" customHeight="1" x14ac:dyDescent="0.3">
      <c r="B179" s="319">
        <v>2022</v>
      </c>
      <c r="C179" s="310" t="s">
        <v>91</v>
      </c>
      <c r="D179" s="312"/>
      <c r="E179" s="312">
        <v>3126</v>
      </c>
      <c r="F179" s="312"/>
      <c r="G179" s="310" t="s">
        <v>652</v>
      </c>
      <c r="H179" s="320">
        <v>1492</v>
      </c>
    </row>
    <row r="180" spans="2:8" s="311" customFormat="1" ht="19.75" customHeight="1" x14ac:dyDescent="0.3">
      <c r="B180" s="319">
        <v>2022</v>
      </c>
      <c r="C180" s="310" t="s">
        <v>92</v>
      </c>
      <c r="D180" s="312"/>
      <c r="E180" s="312">
        <v>372</v>
      </c>
      <c r="F180" s="312"/>
      <c r="G180" s="310" t="s">
        <v>652</v>
      </c>
      <c r="H180" s="320">
        <v>182</v>
      </c>
    </row>
    <row r="181" spans="2:8" s="311" customFormat="1" ht="19.75" customHeight="1" x14ac:dyDescent="0.3">
      <c r="B181" s="319">
        <v>2022</v>
      </c>
      <c r="C181" s="310" t="s">
        <v>93</v>
      </c>
      <c r="D181" s="312"/>
      <c r="E181" s="312">
        <v>40</v>
      </c>
      <c r="F181" s="312"/>
      <c r="G181" s="310" t="s">
        <v>652</v>
      </c>
      <c r="H181" s="320">
        <v>20</v>
      </c>
    </row>
    <row r="182" spans="2:8" s="311" customFormat="1" ht="19.75" customHeight="1" x14ac:dyDescent="0.3">
      <c r="B182" s="319">
        <v>2022</v>
      </c>
      <c r="C182" s="310" t="s">
        <v>94</v>
      </c>
      <c r="D182" s="312"/>
      <c r="E182" s="312">
        <v>3566</v>
      </c>
      <c r="F182" s="312"/>
      <c r="G182" s="310" t="s">
        <v>652</v>
      </c>
      <c r="H182" s="320">
        <v>1728</v>
      </c>
    </row>
    <row r="183" spans="2:8" s="311" customFormat="1" ht="19.75" customHeight="1" x14ac:dyDescent="0.3">
      <c r="B183" s="319">
        <v>2022</v>
      </c>
      <c r="C183" s="310" t="s">
        <v>95</v>
      </c>
      <c r="D183" s="312">
        <v>168</v>
      </c>
      <c r="E183" s="312"/>
      <c r="F183" s="312">
        <v>2</v>
      </c>
      <c r="G183" s="310" t="s">
        <v>652</v>
      </c>
      <c r="H183" s="320">
        <v>79</v>
      </c>
    </row>
    <row r="184" spans="2:8" s="311" customFormat="1" ht="19.75" customHeight="1" x14ac:dyDescent="0.3">
      <c r="B184" s="319">
        <v>2022</v>
      </c>
      <c r="C184" s="310" t="s">
        <v>96</v>
      </c>
      <c r="D184" s="312">
        <v>46</v>
      </c>
      <c r="E184" s="312"/>
      <c r="F184" s="312"/>
      <c r="G184" s="310" t="s">
        <v>652</v>
      </c>
      <c r="H184" s="320">
        <v>23</v>
      </c>
    </row>
    <row r="185" spans="2:8" s="311" customFormat="1" ht="19.75" customHeight="1" x14ac:dyDescent="0.3">
      <c r="B185" s="319">
        <v>2022</v>
      </c>
      <c r="C185" s="310" t="s">
        <v>97</v>
      </c>
      <c r="D185" s="312">
        <v>2</v>
      </c>
      <c r="E185" s="312"/>
      <c r="F185" s="312"/>
      <c r="G185" s="310" t="s">
        <v>652</v>
      </c>
      <c r="H185" s="320">
        <v>1</v>
      </c>
    </row>
    <row r="186" spans="2:8" s="311" customFormat="1" ht="19.75" customHeight="1" x14ac:dyDescent="0.3">
      <c r="B186" s="319">
        <v>2022</v>
      </c>
      <c r="C186" s="310" t="s">
        <v>99</v>
      </c>
      <c r="D186" s="312">
        <v>2</v>
      </c>
      <c r="E186" s="312"/>
      <c r="F186" s="312">
        <v>2</v>
      </c>
      <c r="G186" s="310" t="s">
        <v>652</v>
      </c>
      <c r="H186" s="320">
        <v>2</v>
      </c>
    </row>
    <row r="187" spans="2:8" s="311" customFormat="1" ht="19.75" customHeight="1" x14ac:dyDescent="0.3">
      <c r="B187" s="319">
        <v>2022</v>
      </c>
      <c r="C187" s="310" t="s">
        <v>100</v>
      </c>
      <c r="D187" s="312">
        <v>148</v>
      </c>
      <c r="E187" s="312"/>
      <c r="F187" s="312"/>
      <c r="G187" s="310" t="s">
        <v>652</v>
      </c>
      <c r="H187" s="320">
        <v>70</v>
      </c>
    </row>
    <row r="188" spans="2:8" s="311" customFormat="1" ht="19.75" customHeight="1" x14ac:dyDescent="0.3">
      <c r="B188" s="319">
        <v>2022</v>
      </c>
      <c r="C188" s="310" t="s">
        <v>101</v>
      </c>
      <c r="D188" s="312">
        <v>12</v>
      </c>
      <c r="E188" s="312"/>
      <c r="F188" s="312"/>
      <c r="G188" s="310" t="s">
        <v>652</v>
      </c>
      <c r="H188" s="320">
        <v>6</v>
      </c>
    </row>
    <row r="189" spans="2:8" s="311" customFormat="1" ht="19.75" customHeight="1" x14ac:dyDescent="0.3">
      <c r="B189" s="319">
        <v>2022</v>
      </c>
      <c r="C189" s="310" t="s">
        <v>102</v>
      </c>
      <c r="D189" s="312">
        <v>8</v>
      </c>
      <c r="E189" s="312"/>
      <c r="F189" s="312"/>
      <c r="G189" s="310" t="s">
        <v>652</v>
      </c>
      <c r="H189" s="320">
        <v>4</v>
      </c>
    </row>
    <row r="190" spans="2:8" s="311" customFormat="1" ht="19.75" customHeight="1" x14ac:dyDescent="0.3">
      <c r="B190" s="319">
        <v>2022</v>
      </c>
      <c r="C190" s="310" t="s">
        <v>103</v>
      </c>
      <c r="D190" s="312">
        <v>222</v>
      </c>
      <c r="E190" s="312"/>
      <c r="F190" s="312"/>
      <c r="G190" s="310" t="s">
        <v>652</v>
      </c>
      <c r="H190" s="320">
        <v>110</v>
      </c>
    </row>
    <row r="191" spans="2:8" s="311" customFormat="1" ht="19.75" customHeight="1" x14ac:dyDescent="0.3">
      <c r="B191" s="319">
        <v>2022</v>
      </c>
      <c r="C191" s="310" t="s">
        <v>104</v>
      </c>
      <c r="D191" s="312">
        <v>138</v>
      </c>
      <c r="E191" s="312"/>
      <c r="F191" s="312"/>
      <c r="G191" s="310" t="s">
        <v>652</v>
      </c>
      <c r="H191" s="320">
        <v>65</v>
      </c>
    </row>
    <row r="192" spans="2:8" s="311" customFormat="1" ht="19.75" customHeight="1" x14ac:dyDescent="0.3">
      <c r="B192" s="319">
        <v>2022</v>
      </c>
      <c r="C192" s="310" t="s">
        <v>105</v>
      </c>
      <c r="D192" s="312">
        <v>74</v>
      </c>
      <c r="E192" s="312"/>
      <c r="F192" s="312"/>
      <c r="G192" s="310" t="s">
        <v>652</v>
      </c>
      <c r="H192" s="320">
        <v>34</v>
      </c>
    </row>
    <row r="193" spans="2:8" s="311" customFormat="1" ht="19.75" customHeight="1" x14ac:dyDescent="0.3">
      <c r="B193" s="319">
        <v>2022</v>
      </c>
      <c r="C193" s="310" t="s">
        <v>108</v>
      </c>
      <c r="D193" s="312">
        <v>8</v>
      </c>
      <c r="E193" s="312"/>
      <c r="F193" s="312"/>
      <c r="G193" s="310" t="s">
        <v>652</v>
      </c>
      <c r="H193" s="320">
        <v>3</v>
      </c>
    </row>
    <row r="194" spans="2:8" s="311" customFormat="1" ht="19.75" customHeight="1" x14ac:dyDescent="0.3">
      <c r="B194" s="319">
        <v>2022</v>
      </c>
      <c r="C194" s="310" t="s">
        <v>110</v>
      </c>
      <c r="D194" s="312">
        <v>6</v>
      </c>
      <c r="E194" s="312"/>
      <c r="F194" s="312"/>
      <c r="G194" s="310" t="s">
        <v>652</v>
      </c>
      <c r="H194" s="320">
        <v>3</v>
      </c>
    </row>
    <row r="195" spans="2:8" s="311" customFormat="1" ht="19.75" customHeight="1" x14ac:dyDescent="0.3">
      <c r="B195" s="319">
        <v>2022</v>
      </c>
      <c r="C195" s="310" t="s">
        <v>111</v>
      </c>
      <c r="D195" s="312">
        <v>8</v>
      </c>
      <c r="E195" s="312"/>
      <c r="F195" s="312"/>
      <c r="G195" s="310" t="s">
        <v>652</v>
      </c>
      <c r="H195" s="320">
        <v>4</v>
      </c>
    </row>
    <row r="196" spans="2:8" s="311" customFormat="1" ht="19.75" customHeight="1" x14ac:dyDescent="0.3">
      <c r="B196" s="319">
        <v>2022</v>
      </c>
      <c r="C196" s="310" t="s">
        <v>113</v>
      </c>
      <c r="D196" s="312">
        <v>2</v>
      </c>
      <c r="E196" s="312"/>
      <c r="F196" s="312"/>
      <c r="G196" s="310" t="s">
        <v>652</v>
      </c>
      <c r="H196" s="320">
        <v>1</v>
      </c>
    </row>
    <row r="197" spans="2:8" s="311" customFormat="1" ht="19.75" customHeight="1" x14ac:dyDescent="0.3">
      <c r="B197" s="319">
        <v>2022</v>
      </c>
      <c r="C197" s="310" t="s">
        <v>117</v>
      </c>
      <c r="D197" s="312">
        <v>2</v>
      </c>
      <c r="E197" s="312"/>
      <c r="F197" s="312"/>
      <c r="G197" s="310" t="s">
        <v>652</v>
      </c>
      <c r="H197" s="320">
        <v>1</v>
      </c>
    </row>
    <row r="198" spans="2:8" s="311" customFormat="1" ht="19.75" customHeight="1" x14ac:dyDescent="0.3">
      <c r="B198" s="319">
        <v>2022</v>
      </c>
      <c r="C198" s="310" t="s">
        <v>124</v>
      </c>
      <c r="D198" s="312">
        <v>6</v>
      </c>
      <c r="E198" s="312"/>
      <c r="F198" s="312"/>
      <c r="G198" s="310" t="s">
        <v>652</v>
      </c>
      <c r="H198" s="320">
        <v>3</v>
      </c>
    </row>
    <row r="199" spans="2:8" s="311" customFormat="1" ht="19.75" customHeight="1" x14ac:dyDescent="0.3">
      <c r="B199" s="319">
        <v>2022</v>
      </c>
      <c r="C199" s="310" t="s">
        <v>125</v>
      </c>
      <c r="D199" s="312"/>
      <c r="E199" s="312"/>
      <c r="F199" s="312">
        <v>2</v>
      </c>
      <c r="G199" s="310" t="s">
        <v>652</v>
      </c>
      <c r="H199" s="320">
        <v>1</v>
      </c>
    </row>
    <row r="200" spans="2:8" s="311" customFormat="1" ht="19.75" customHeight="1" x14ac:dyDescent="0.3">
      <c r="B200" s="319">
        <v>2022</v>
      </c>
      <c r="C200" s="310" t="s">
        <v>126</v>
      </c>
      <c r="D200" s="312"/>
      <c r="E200" s="312">
        <v>8</v>
      </c>
      <c r="F200" s="312"/>
      <c r="G200" s="310" t="s">
        <v>652</v>
      </c>
      <c r="H200" s="320">
        <v>4</v>
      </c>
    </row>
    <row r="201" spans="2:8" s="311" customFormat="1" ht="19.75" customHeight="1" x14ac:dyDescent="0.3">
      <c r="B201" s="319">
        <v>2022</v>
      </c>
      <c r="C201" s="310" t="s">
        <v>127</v>
      </c>
      <c r="D201" s="312"/>
      <c r="E201" s="312">
        <v>316</v>
      </c>
      <c r="F201" s="312"/>
      <c r="G201" s="310" t="s">
        <v>652</v>
      </c>
      <c r="H201" s="320">
        <v>146</v>
      </c>
    </row>
    <row r="202" spans="2:8" s="311" customFormat="1" ht="19.75" customHeight="1" x14ac:dyDescent="0.3">
      <c r="B202" s="319">
        <v>2022</v>
      </c>
      <c r="C202" s="310" t="s">
        <v>128</v>
      </c>
      <c r="D202" s="312">
        <v>2</v>
      </c>
      <c r="E202" s="312">
        <v>40</v>
      </c>
      <c r="F202" s="312"/>
      <c r="G202" s="310" t="s">
        <v>652</v>
      </c>
      <c r="H202" s="320">
        <v>21</v>
      </c>
    </row>
    <row r="203" spans="2:8" s="311" customFormat="1" ht="19.75" customHeight="1" x14ac:dyDescent="0.3">
      <c r="B203" s="319">
        <v>2022</v>
      </c>
      <c r="C203" s="310" t="s">
        <v>129</v>
      </c>
      <c r="D203" s="312"/>
      <c r="E203" s="312">
        <v>362</v>
      </c>
      <c r="F203" s="312"/>
      <c r="G203" s="310" t="s">
        <v>652</v>
      </c>
      <c r="H203" s="320">
        <v>180</v>
      </c>
    </row>
    <row r="204" spans="2:8" s="311" customFormat="1" ht="19.75" customHeight="1" x14ac:dyDescent="0.3">
      <c r="B204" s="319">
        <v>2022</v>
      </c>
      <c r="C204" s="310" t="s">
        <v>130</v>
      </c>
      <c r="D204" s="312"/>
      <c r="E204" s="312">
        <v>374</v>
      </c>
      <c r="F204" s="312"/>
      <c r="G204" s="310" t="s">
        <v>652</v>
      </c>
      <c r="H204" s="320">
        <v>187</v>
      </c>
    </row>
    <row r="205" spans="2:8" s="311" customFormat="1" ht="19.75" customHeight="1" x14ac:dyDescent="0.3">
      <c r="B205" s="319">
        <v>2022</v>
      </c>
      <c r="C205" s="310" t="s">
        <v>131</v>
      </c>
      <c r="D205" s="312"/>
      <c r="E205" s="312">
        <v>222</v>
      </c>
      <c r="F205" s="312"/>
      <c r="G205" s="310" t="s">
        <v>652</v>
      </c>
      <c r="H205" s="320">
        <v>110</v>
      </c>
    </row>
    <row r="206" spans="2:8" s="311" customFormat="1" ht="19.75" customHeight="1" x14ac:dyDescent="0.3">
      <c r="B206" s="319">
        <v>2022</v>
      </c>
      <c r="C206" s="310" t="s">
        <v>132</v>
      </c>
      <c r="D206" s="312"/>
      <c r="E206" s="312">
        <v>152</v>
      </c>
      <c r="F206" s="312"/>
      <c r="G206" s="310" t="s">
        <v>652</v>
      </c>
      <c r="H206" s="320">
        <v>75</v>
      </c>
    </row>
    <row r="207" spans="2:8" s="311" customFormat="1" ht="19.75" customHeight="1" x14ac:dyDescent="0.3">
      <c r="B207" s="319">
        <v>2022</v>
      </c>
      <c r="C207" s="310" t="s">
        <v>133</v>
      </c>
      <c r="D207" s="312"/>
      <c r="E207" s="312">
        <v>94</v>
      </c>
      <c r="F207" s="312"/>
      <c r="G207" s="310" t="s">
        <v>652</v>
      </c>
      <c r="H207" s="320">
        <v>44</v>
      </c>
    </row>
    <row r="208" spans="2:8" s="311" customFormat="1" ht="19.75" customHeight="1" x14ac:dyDescent="0.3">
      <c r="B208" s="319">
        <v>2022</v>
      </c>
      <c r="C208" s="310" t="s">
        <v>134</v>
      </c>
      <c r="D208" s="312"/>
      <c r="E208" s="312">
        <v>18</v>
      </c>
      <c r="F208" s="312"/>
      <c r="G208" s="310" t="s">
        <v>652</v>
      </c>
      <c r="H208" s="320">
        <v>9</v>
      </c>
    </row>
    <row r="209" spans="2:8" s="311" customFormat="1" ht="19.75" customHeight="1" x14ac:dyDescent="0.3">
      <c r="B209" s="319">
        <v>2022</v>
      </c>
      <c r="C209" s="310" t="s">
        <v>135</v>
      </c>
      <c r="D209" s="312"/>
      <c r="E209" s="312">
        <v>14</v>
      </c>
      <c r="F209" s="312"/>
      <c r="G209" s="310" t="s">
        <v>652</v>
      </c>
      <c r="H209" s="320">
        <v>7</v>
      </c>
    </row>
    <row r="210" spans="2:8" s="311" customFormat="1" ht="19.75" customHeight="1" x14ac:dyDescent="0.3">
      <c r="B210" s="319">
        <v>2022</v>
      </c>
      <c r="C210" s="310" t="s">
        <v>136</v>
      </c>
      <c r="D210" s="312"/>
      <c r="E210" s="312">
        <v>56</v>
      </c>
      <c r="F210" s="312"/>
      <c r="G210" s="310" t="s">
        <v>652</v>
      </c>
      <c r="H210" s="320">
        <v>28</v>
      </c>
    </row>
    <row r="211" spans="2:8" s="311" customFormat="1" ht="19.75" customHeight="1" x14ac:dyDescent="0.3">
      <c r="B211" s="319">
        <v>2022</v>
      </c>
      <c r="C211" s="310" t="s">
        <v>138</v>
      </c>
      <c r="D211" s="312"/>
      <c r="E211" s="312">
        <v>106</v>
      </c>
      <c r="F211" s="312"/>
      <c r="G211" s="310" t="s">
        <v>652</v>
      </c>
      <c r="H211" s="320">
        <v>52</v>
      </c>
    </row>
    <row r="212" spans="2:8" s="311" customFormat="1" ht="19.75" customHeight="1" x14ac:dyDescent="0.3">
      <c r="B212" s="319">
        <v>2022</v>
      </c>
      <c r="C212" s="310" t="s">
        <v>139</v>
      </c>
      <c r="D212" s="312"/>
      <c r="E212" s="312">
        <v>2</v>
      </c>
      <c r="F212" s="312"/>
      <c r="G212" s="310" t="s">
        <v>652</v>
      </c>
      <c r="H212" s="320">
        <v>1</v>
      </c>
    </row>
    <row r="213" spans="2:8" s="311" customFormat="1" ht="19.75" customHeight="1" x14ac:dyDescent="0.3">
      <c r="B213" s="319">
        <v>2022</v>
      </c>
      <c r="C213" s="310" t="s">
        <v>140</v>
      </c>
      <c r="D213" s="312"/>
      <c r="E213" s="312">
        <v>254</v>
      </c>
      <c r="F213" s="312"/>
      <c r="G213" s="310" t="s">
        <v>652</v>
      </c>
      <c r="H213" s="320">
        <v>122</v>
      </c>
    </row>
    <row r="214" spans="2:8" s="311" customFormat="1" ht="19.75" customHeight="1" x14ac:dyDescent="0.3">
      <c r="B214" s="319">
        <v>2022</v>
      </c>
      <c r="C214" s="310" t="s">
        <v>141</v>
      </c>
      <c r="D214" s="312"/>
      <c r="E214" s="312">
        <v>54</v>
      </c>
      <c r="F214" s="312"/>
      <c r="G214" s="310" t="s">
        <v>652</v>
      </c>
      <c r="H214" s="320">
        <v>27</v>
      </c>
    </row>
    <row r="215" spans="2:8" s="311" customFormat="1" ht="19.75" customHeight="1" x14ac:dyDescent="0.3">
      <c r="B215" s="319">
        <v>2022</v>
      </c>
      <c r="C215" s="310" t="s">
        <v>142</v>
      </c>
      <c r="D215" s="312"/>
      <c r="E215" s="312">
        <v>2</v>
      </c>
      <c r="F215" s="312"/>
      <c r="G215" s="310" t="s">
        <v>652</v>
      </c>
      <c r="H215" s="320">
        <v>1</v>
      </c>
    </row>
    <row r="216" spans="2:8" s="311" customFormat="1" ht="19.75" customHeight="1" x14ac:dyDescent="0.3">
      <c r="B216" s="319">
        <v>2022</v>
      </c>
      <c r="C216" s="310" t="s">
        <v>143</v>
      </c>
      <c r="D216" s="312"/>
      <c r="E216" s="312">
        <v>30</v>
      </c>
      <c r="F216" s="312"/>
      <c r="G216" s="310" t="s">
        <v>652</v>
      </c>
      <c r="H216" s="320">
        <v>15</v>
      </c>
    </row>
    <row r="217" spans="2:8" s="311" customFormat="1" ht="19.75" customHeight="1" x14ac:dyDescent="0.3">
      <c r="B217" s="319">
        <v>2022</v>
      </c>
      <c r="C217" s="310" t="s">
        <v>144</v>
      </c>
      <c r="D217" s="312"/>
      <c r="E217" s="312">
        <v>6</v>
      </c>
      <c r="F217" s="312"/>
      <c r="G217" s="310" t="s">
        <v>652</v>
      </c>
      <c r="H217" s="320">
        <v>3</v>
      </c>
    </row>
    <row r="218" spans="2:8" s="311" customFormat="1" ht="19.75" customHeight="1" x14ac:dyDescent="0.3">
      <c r="B218" s="319">
        <v>2022</v>
      </c>
      <c r="C218" s="310" t="s">
        <v>145</v>
      </c>
      <c r="D218" s="312"/>
      <c r="E218" s="312">
        <v>72</v>
      </c>
      <c r="F218" s="312"/>
      <c r="G218" s="310" t="s">
        <v>652</v>
      </c>
      <c r="H218" s="320">
        <v>36</v>
      </c>
    </row>
    <row r="219" spans="2:8" s="311" customFormat="1" ht="19.75" customHeight="1" x14ac:dyDescent="0.3">
      <c r="B219" s="319">
        <v>2022</v>
      </c>
      <c r="C219" s="310" t="s">
        <v>146</v>
      </c>
      <c r="D219" s="312"/>
      <c r="E219" s="312">
        <v>74</v>
      </c>
      <c r="F219" s="312"/>
      <c r="G219" s="310" t="s">
        <v>652</v>
      </c>
      <c r="H219" s="320">
        <v>37</v>
      </c>
    </row>
    <row r="220" spans="2:8" s="311" customFormat="1" ht="19.75" customHeight="1" x14ac:dyDescent="0.3">
      <c r="B220" s="319">
        <v>2023</v>
      </c>
      <c r="C220" s="310" t="s">
        <v>7</v>
      </c>
      <c r="D220" s="312">
        <v>10</v>
      </c>
      <c r="E220" s="312"/>
      <c r="F220" s="312">
        <v>6</v>
      </c>
      <c r="G220" s="310" t="s">
        <v>652</v>
      </c>
      <c r="H220" s="320">
        <v>8</v>
      </c>
    </row>
    <row r="221" spans="2:8" s="311" customFormat="1" ht="19.75" customHeight="1" x14ac:dyDescent="0.3">
      <c r="B221" s="319">
        <v>2023</v>
      </c>
      <c r="C221" s="310" t="s">
        <v>8</v>
      </c>
      <c r="D221" s="312">
        <v>4</v>
      </c>
      <c r="E221" s="312"/>
      <c r="F221" s="312">
        <v>2</v>
      </c>
      <c r="G221" s="310" t="s">
        <v>652</v>
      </c>
      <c r="H221" s="320">
        <v>3</v>
      </c>
    </row>
    <row r="222" spans="2:8" s="311" customFormat="1" ht="19.75" customHeight="1" x14ac:dyDescent="0.3">
      <c r="B222" s="319">
        <v>2023</v>
      </c>
      <c r="C222" s="310" t="s">
        <v>10</v>
      </c>
      <c r="D222" s="312">
        <v>8</v>
      </c>
      <c r="E222" s="312"/>
      <c r="F222" s="312">
        <v>2</v>
      </c>
      <c r="G222" s="310" t="s">
        <v>652</v>
      </c>
      <c r="H222" s="320">
        <v>5</v>
      </c>
    </row>
    <row r="223" spans="2:8" s="311" customFormat="1" ht="19.75" customHeight="1" x14ac:dyDescent="0.3">
      <c r="B223" s="319">
        <v>2023</v>
      </c>
      <c r="C223" s="310" t="s">
        <v>11</v>
      </c>
      <c r="D223" s="312">
        <v>8</v>
      </c>
      <c r="E223" s="312"/>
      <c r="F223" s="312">
        <v>14</v>
      </c>
      <c r="G223" s="310" t="s">
        <v>652</v>
      </c>
      <c r="H223" s="320">
        <v>11</v>
      </c>
    </row>
    <row r="224" spans="2:8" s="311" customFormat="1" ht="19.75" customHeight="1" x14ac:dyDescent="0.3">
      <c r="B224" s="319">
        <v>2023</v>
      </c>
      <c r="C224" s="310" t="s">
        <v>12</v>
      </c>
      <c r="D224" s="312">
        <v>24</v>
      </c>
      <c r="E224" s="312"/>
      <c r="F224" s="312">
        <v>30</v>
      </c>
      <c r="G224" s="310" t="s">
        <v>652</v>
      </c>
      <c r="H224" s="320">
        <v>27</v>
      </c>
    </row>
    <row r="225" spans="2:8" s="311" customFormat="1" ht="19.75" customHeight="1" x14ac:dyDescent="0.3">
      <c r="B225" s="319">
        <v>2023</v>
      </c>
      <c r="C225" s="310" t="s">
        <v>13</v>
      </c>
      <c r="D225" s="312"/>
      <c r="E225" s="312"/>
      <c r="F225" s="312">
        <v>4</v>
      </c>
      <c r="G225" s="310" t="s">
        <v>652</v>
      </c>
      <c r="H225" s="320">
        <v>2</v>
      </c>
    </row>
    <row r="226" spans="2:8" s="311" customFormat="1" ht="19.75" customHeight="1" x14ac:dyDescent="0.3">
      <c r="B226" s="319">
        <v>2023</v>
      </c>
      <c r="C226" s="310" t="s">
        <v>14</v>
      </c>
      <c r="D226" s="312">
        <v>36</v>
      </c>
      <c r="E226" s="312"/>
      <c r="F226" s="312">
        <v>2</v>
      </c>
      <c r="G226" s="310" t="s">
        <v>652</v>
      </c>
      <c r="H226" s="320">
        <v>18</v>
      </c>
    </row>
    <row r="227" spans="2:8" s="311" customFormat="1" ht="19.75" customHeight="1" x14ac:dyDescent="0.3">
      <c r="B227" s="319">
        <v>2023</v>
      </c>
      <c r="C227" s="310" t="s">
        <v>16</v>
      </c>
      <c r="D227" s="312">
        <v>4</v>
      </c>
      <c r="E227" s="312"/>
      <c r="F227" s="312">
        <v>2</v>
      </c>
      <c r="G227" s="310" t="s">
        <v>652</v>
      </c>
      <c r="H227" s="320">
        <v>3</v>
      </c>
    </row>
    <row r="228" spans="2:8" s="311" customFormat="1" ht="19.75" customHeight="1" x14ac:dyDescent="0.3">
      <c r="B228" s="319">
        <v>2023</v>
      </c>
      <c r="C228" s="310" t="s">
        <v>17</v>
      </c>
      <c r="D228" s="312">
        <v>80</v>
      </c>
      <c r="E228" s="312"/>
      <c r="F228" s="312">
        <v>2</v>
      </c>
      <c r="G228" s="310" t="s">
        <v>652</v>
      </c>
      <c r="H228" s="320">
        <v>41</v>
      </c>
    </row>
    <row r="229" spans="2:8" s="311" customFormat="1" ht="19.75" customHeight="1" x14ac:dyDescent="0.3">
      <c r="B229" s="319">
        <v>2023</v>
      </c>
      <c r="C229" s="310" t="s">
        <v>18</v>
      </c>
      <c r="D229" s="312">
        <v>2</v>
      </c>
      <c r="E229" s="312"/>
      <c r="F229" s="312"/>
      <c r="G229" s="310" t="s">
        <v>652</v>
      </c>
      <c r="H229" s="320">
        <v>1</v>
      </c>
    </row>
    <row r="230" spans="2:8" s="311" customFormat="1" ht="19.75" customHeight="1" x14ac:dyDescent="0.3">
      <c r="B230" s="319">
        <v>2023</v>
      </c>
      <c r="C230" s="310" t="s">
        <v>20</v>
      </c>
      <c r="D230" s="312">
        <v>34</v>
      </c>
      <c r="E230" s="312"/>
      <c r="F230" s="312"/>
      <c r="G230" s="310" t="s">
        <v>652</v>
      </c>
      <c r="H230" s="320">
        <v>16</v>
      </c>
    </row>
    <row r="231" spans="2:8" s="311" customFormat="1" ht="19.75" customHeight="1" x14ac:dyDescent="0.3">
      <c r="B231" s="319">
        <v>2023</v>
      </c>
      <c r="C231" s="310" t="s">
        <v>22</v>
      </c>
      <c r="D231" s="312">
        <v>2</v>
      </c>
      <c r="E231" s="312"/>
      <c r="F231" s="312"/>
      <c r="G231" s="310" t="s">
        <v>652</v>
      </c>
      <c r="H231" s="320">
        <v>1</v>
      </c>
    </row>
    <row r="232" spans="2:8" s="311" customFormat="1" ht="19.75" customHeight="1" x14ac:dyDescent="0.3">
      <c r="B232" s="319">
        <v>2023</v>
      </c>
      <c r="C232" s="310" t="s">
        <v>23</v>
      </c>
      <c r="D232" s="312">
        <v>90</v>
      </c>
      <c r="E232" s="312"/>
      <c r="F232" s="312"/>
      <c r="G232" s="310" t="s">
        <v>652</v>
      </c>
      <c r="H232" s="320">
        <v>43</v>
      </c>
    </row>
    <row r="233" spans="2:8" s="311" customFormat="1" ht="19.75" customHeight="1" x14ac:dyDescent="0.3">
      <c r="B233" s="319">
        <v>2023</v>
      </c>
      <c r="C233" s="310" t="s">
        <v>24</v>
      </c>
      <c r="D233" s="312">
        <v>26</v>
      </c>
      <c r="E233" s="312"/>
      <c r="F233" s="312">
        <v>4</v>
      </c>
      <c r="G233" s="310" t="s">
        <v>652</v>
      </c>
      <c r="H233" s="320">
        <v>15</v>
      </c>
    </row>
    <row r="234" spans="2:8" s="311" customFormat="1" ht="19.75" customHeight="1" x14ac:dyDescent="0.3">
      <c r="B234" s="319">
        <v>2023</v>
      </c>
      <c r="C234" s="310" t="s">
        <v>25</v>
      </c>
      <c r="D234" s="312">
        <v>4</v>
      </c>
      <c r="E234" s="312"/>
      <c r="F234" s="312"/>
      <c r="G234" s="310" t="s">
        <v>652</v>
      </c>
      <c r="H234" s="320">
        <v>2</v>
      </c>
    </row>
    <row r="235" spans="2:8" s="311" customFormat="1" ht="19.75" customHeight="1" x14ac:dyDescent="0.3">
      <c r="B235" s="319">
        <v>2023</v>
      </c>
      <c r="C235" s="310" t="s">
        <v>26</v>
      </c>
      <c r="D235" s="312">
        <v>12</v>
      </c>
      <c r="E235" s="312"/>
      <c r="F235" s="312">
        <v>8</v>
      </c>
      <c r="G235" s="310" t="s">
        <v>652</v>
      </c>
      <c r="H235" s="320">
        <v>10</v>
      </c>
    </row>
    <row r="236" spans="2:8" s="311" customFormat="1" ht="19.75" customHeight="1" x14ac:dyDescent="0.3">
      <c r="B236" s="319">
        <v>2023</v>
      </c>
      <c r="C236" s="310" t="s">
        <v>27</v>
      </c>
      <c r="D236" s="312">
        <v>2</v>
      </c>
      <c r="E236" s="312"/>
      <c r="F236" s="312">
        <v>2</v>
      </c>
      <c r="G236" s="310" t="s">
        <v>652</v>
      </c>
      <c r="H236" s="320">
        <v>2</v>
      </c>
    </row>
    <row r="237" spans="2:8" s="311" customFormat="1" ht="19.75" customHeight="1" x14ac:dyDescent="0.3">
      <c r="B237" s="319">
        <v>2023</v>
      </c>
      <c r="C237" s="310" t="s">
        <v>28</v>
      </c>
      <c r="D237" s="312">
        <v>12</v>
      </c>
      <c r="E237" s="312"/>
      <c r="F237" s="312">
        <v>2</v>
      </c>
      <c r="G237" s="310" t="s">
        <v>652</v>
      </c>
      <c r="H237" s="320">
        <v>7</v>
      </c>
    </row>
    <row r="238" spans="2:8" s="311" customFormat="1" ht="19.75" customHeight="1" x14ac:dyDescent="0.3">
      <c r="B238" s="319">
        <v>2023</v>
      </c>
      <c r="C238" s="310" t="s">
        <v>29</v>
      </c>
      <c r="D238" s="312">
        <v>54</v>
      </c>
      <c r="E238" s="312"/>
      <c r="F238" s="312">
        <v>14</v>
      </c>
      <c r="G238" s="310" t="s">
        <v>652</v>
      </c>
      <c r="H238" s="320">
        <v>34</v>
      </c>
    </row>
    <row r="239" spans="2:8" s="311" customFormat="1" ht="19.75" customHeight="1" x14ac:dyDescent="0.3">
      <c r="B239" s="319">
        <v>2023</v>
      </c>
      <c r="C239" s="310" t="s">
        <v>30</v>
      </c>
      <c r="D239" s="312">
        <v>20</v>
      </c>
      <c r="E239" s="312"/>
      <c r="F239" s="312">
        <v>16</v>
      </c>
      <c r="G239" s="310" t="s">
        <v>652</v>
      </c>
      <c r="H239" s="320">
        <v>18</v>
      </c>
    </row>
    <row r="240" spans="2:8" s="311" customFormat="1" ht="19.75" customHeight="1" x14ac:dyDescent="0.3">
      <c r="B240" s="319">
        <v>2023</v>
      </c>
      <c r="C240" s="310" t="s">
        <v>32</v>
      </c>
      <c r="D240" s="312">
        <v>28</v>
      </c>
      <c r="E240" s="312"/>
      <c r="F240" s="312">
        <v>26</v>
      </c>
      <c r="G240" s="310" t="s">
        <v>652</v>
      </c>
      <c r="H240" s="320">
        <v>27</v>
      </c>
    </row>
    <row r="241" spans="2:8" s="311" customFormat="1" ht="19.75" customHeight="1" x14ac:dyDescent="0.3">
      <c r="B241" s="319">
        <v>2023</v>
      </c>
      <c r="C241" s="310" t="s">
        <v>36</v>
      </c>
      <c r="D241" s="312">
        <v>2</v>
      </c>
      <c r="E241" s="312"/>
      <c r="F241" s="312"/>
      <c r="G241" s="310" t="s">
        <v>652</v>
      </c>
      <c r="H241" s="320">
        <v>1</v>
      </c>
    </row>
    <row r="242" spans="2:8" s="311" customFormat="1" ht="19.75" customHeight="1" x14ac:dyDescent="0.3">
      <c r="B242" s="319">
        <v>2023</v>
      </c>
      <c r="C242" s="310" t="s">
        <v>54</v>
      </c>
      <c r="D242" s="312">
        <v>28</v>
      </c>
      <c r="E242" s="312"/>
      <c r="F242" s="312">
        <v>20</v>
      </c>
      <c r="G242" s="310" t="s">
        <v>652</v>
      </c>
      <c r="H242" s="320">
        <v>24</v>
      </c>
    </row>
    <row r="243" spans="2:8" s="311" customFormat="1" ht="19.75" customHeight="1" x14ac:dyDescent="0.3">
      <c r="B243" s="319">
        <v>2023</v>
      </c>
      <c r="C243" s="310" t="s">
        <v>56</v>
      </c>
      <c r="D243" s="312">
        <v>8</v>
      </c>
      <c r="E243" s="312"/>
      <c r="F243" s="312">
        <v>2</v>
      </c>
      <c r="G243" s="310" t="s">
        <v>652</v>
      </c>
      <c r="H243" s="320">
        <v>5</v>
      </c>
    </row>
    <row r="244" spans="2:8" s="311" customFormat="1" ht="19.75" customHeight="1" x14ac:dyDescent="0.3">
      <c r="B244" s="319">
        <v>2023</v>
      </c>
      <c r="C244" s="310" t="s">
        <v>57</v>
      </c>
      <c r="D244" s="312">
        <v>180</v>
      </c>
      <c r="E244" s="312"/>
      <c r="F244" s="312">
        <v>8</v>
      </c>
      <c r="G244" s="310" t="s">
        <v>652</v>
      </c>
      <c r="H244" s="320">
        <v>80</v>
      </c>
    </row>
    <row r="245" spans="2:8" s="311" customFormat="1" ht="19.75" customHeight="1" x14ac:dyDescent="0.3">
      <c r="B245" s="319">
        <v>2023</v>
      </c>
      <c r="C245" s="310" t="s">
        <v>58</v>
      </c>
      <c r="D245" s="312">
        <v>8</v>
      </c>
      <c r="E245" s="312"/>
      <c r="F245" s="312">
        <v>4</v>
      </c>
      <c r="G245" s="310" t="s">
        <v>652</v>
      </c>
      <c r="H245" s="320">
        <v>6</v>
      </c>
    </row>
    <row r="246" spans="2:8" s="311" customFormat="1" ht="19.75" customHeight="1" x14ac:dyDescent="0.3">
      <c r="B246" s="319">
        <v>2023</v>
      </c>
      <c r="C246" s="310" t="s">
        <v>59</v>
      </c>
      <c r="D246" s="312">
        <v>58</v>
      </c>
      <c r="E246" s="312"/>
      <c r="F246" s="312">
        <v>34</v>
      </c>
      <c r="G246" s="310" t="s">
        <v>652</v>
      </c>
      <c r="H246" s="320">
        <v>46</v>
      </c>
    </row>
    <row r="247" spans="2:8" s="311" customFormat="1" ht="19.75" customHeight="1" x14ac:dyDescent="0.3">
      <c r="B247" s="319">
        <v>2023</v>
      </c>
      <c r="C247" s="310" t="s">
        <v>60</v>
      </c>
      <c r="D247" s="312">
        <v>4</v>
      </c>
      <c r="E247" s="312"/>
      <c r="F247" s="312"/>
      <c r="G247" s="310" t="s">
        <v>652</v>
      </c>
      <c r="H247" s="320">
        <v>2</v>
      </c>
    </row>
    <row r="248" spans="2:8" s="311" customFormat="1" ht="19.75" customHeight="1" x14ac:dyDescent="0.3">
      <c r="B248" s="319">
        <v>2023</v>
      </c>
      <c r="C248" s="310" t="s">
        <v>61</v>
      </c>
      <c r="D248" s="312">
        <v>2</v>
      </c>
      <c r="E248" s="312"/>
      <c r="F248" s="312">
        <v>32</v>
      </c>
      <c r="G248" s="310" t="s">
        <v>652</v>
      </c>
      <c r="H248" s="320">
        <v>17</v>
      </c>
    </row>
    <row r="249" spans="2:8" s="311" customFormat="1" ht="19.75" customHeight="1" x14ac:dyDescent="0.3">
      <c r="B249" s="319">
        <v>2023</v>
      </c>
      <c r="C249" s="310" t="s">
        <v>64</v>
      </c>
      <c r="D249" s="312"/>
      <c r="E249" s="312"/>
      <c r="F249" s="312">
        <v>6</v>
      </c>
      <c r="G249" s="310" t="s">
        <v>652</v>
      </c>
      <c r="H249" s="320">
        <v>3</v>
      </c>
    </row>
    <row r="250" spans="2:8" s="311" customFormat="1" ht="19.75" customHeight="1" x14ac:dyDescent="0.3">
      <c r="B250" s="319">
        <v>2023</v>
      </c>
      <c r="C250" s="310" t="s">
        <v>68</v>
      </c>
      <c r="D250" s="312">
        <v>264</v>
      </c>
      <c r="E250" s="312"/>
      <c r="F250" s="312">
        <v>4</v>
      </c>
      <c r="G250" s="310" t="s">
        <v>652</v>
      </c>
      <c r="H250" s="320">
        <v>134</v>
      </c>
    </row>
    <row r="251" spans="2:8" s="311" customFormat="1" ht="19.75" customHeight="1" x14ac:dyDescent="0.3">
      <c r="B251" s="319">
        <v>2023</v>
      </c>
      <c r="C251" s="310" t="s">
        <v>70</v>
      </c>
      <c r="D251" s="312">
        <v>192</v>
      </c>
      <c r="E251" s="312"/>
      <c r="F251" s="312">
        <v>34</v>
      </c>
      <c r="G251" s="310" t="s">
        <v>652</v>
      </c>
      <c r="H251" s="320">
        <v>112</v>
      </c>
    </row>
    <row r="252" spans="2:8" s="311" customFormat="1" ht="19.75" customHeight="1" x14ac:dyDescent="0.3">
      <c r="B252" s="319">
        <v>2023</v>
      </c>
      <c r="C252" s="310" t="s">
        <v>72</v>
      </c>
      <c r="D252" s="312">
        <v>234</v>
      </c>
      <c r="E252" s="312"/>
      <c r="F252" s="312">
        <v>6</v>
      </c>
      <c r="G252" s="310" t="s">
        <v>652</v>
      </c>
      <c r="H252" s="320">
        <v>120</v>
      </c>
    </row>
    <row r="253" spans="2:8" s="311" customFormat="1" ht="19.75" customHeight="1" x14ac:dyDescent="0.3">
      <c r="B253" s="319">
        <v>2023</v>
      </c>
      <c r="C253" s="310" t="s">
        <v>73</v>
      </c>
      <c r="D253" s="312">
        <v>8</v>
      </c>
      <c r="E253" s="312"/>
      <c r="F253" s="312">
        <v>2</v>
      </c>
      <c r="G253" s="310" t="s">
        <v>652</v>
      </c>
      <c r="H253" s="320">
        <v>5</v>
      </c>
    </row>
    <row r="254" spans="2:8" s="311" customFormat="1" ht="19.75" customHeight="1" x14ac:dyDescent="0.3">
      <c r="B254" s="319">
        <v>2023</v>
      </c>
      <c r="C254" s="310" t="s">
        <v>75</v>
      </c>
      <c r="D254" s="312">
        <v>192</v>
      </c>
      <c r="E254" s="312"/>
      <c r="F254" s="312">
        <v>36</v>
      </c>
      <c r="G254" s="310" t="s">
        <v>652</v>
      </c>
      <c r="H254" s="320">
        <v>112</v>
      </c>
    </row>
    <row r="255" spans="2:8" s="311" customFormat="1" ht="19.75" customHeight="1" x14ac:dyDescent="0.3">
      <c r="B255" s="319">
        <v>2023</v>
      </c>
      <c r="C255" s="310" t="s">
        <v>76</v>
      </c>
      <c r="D255" s="312">
        <v>170</v>
      </c>
      <c r="E255" s="312"/>
      <c r="F255" s="312">
        <v>26</v>
      </c>
      <c r="G255" s="310" t="s">
        <v>652</v>
      </c>
      <c r="H255" s="320">
        <v>98</v>
      </c>
    </row>
    <row r="256" spans="2:8" s="311" customFormat="1" ht="19.75" customHeight="1" x14ac:dyDescent="0.3">
      <c r="B256" s="319">
        <v>2023</v>
      </c>
      <c r="C256" s="310" t="s">
        <v>77</v>
      </c>
      <c r="D256" s="312">
        <v>334</v>
      </c>
      <c r="E256" s="312"/>
      <c r="F256" s="312">
        <v>34</v>
      </c>
      <c r="G256" s="310" t="s">
        <v>652</v>
      </c>
      <c r="H256" s="320">
        <v>182</v>
      </c>
    </row>
    <row r="257" spans="2:8" s="311" customFormat="1" ht="19.75" customHeight="1" x14ac:dyDescent="0.3">
      <c r="B257" s="319">
        <v>2023</v>
      </c>
      <c r="C257" s="310" t="s">
        <v>78</v>
      </c>
      <c r="D257" s="312">
        <v>116</v>
      </c>
      <c r="E257" s="312"/>
      <c r="F257" s="312">
        <v>2</v>
      </c>
      <c r="G257" s="310" t="s">
        <v>652</v>
      </c>
      <c r="H257" s="320">
        <v>59</v>
      </c>
    </row>
    <row r="258" spans="2:8" s="311" customFormat="1" ht="19.75" customHeight="1" x14ac:dyDescent="0.3">
      <c r="B258" s="319">
        <v>2023</v>
      </c>
      <c r="C258" s="310" t="s">
        <v>79</v>
      </c>
      <c r="D258" s="312">
        <v>170</v>
      </c>
      <c r="E258" s="312"/>
      <c r="F258" s="312">
        <v>2</v>
      </c>
      <c r="G258" s="310" t="s">
        <v>652</v>
      </c>
      <c r="H258" s="320">
        <v>82</v>
      </c>
    </row>
    <row r="259" spans="2:8" s="311" customFormat="1" ht="19.75" customHeight="1" x14ac:dyDescent="0.3">
      <c r="B259" s="319">
        <v>2023</v>
      </c>
      <c r="C259" s="310" t="s">
        <v>343</v>
      </c>
      <c r="D259" s="312">
        <v>36</v>
      </c>
      <c r="E259" s="312"/>
      <c r="F259" s="312"/>
      <c r="G259" s="310" t="s">
        <v>652</v>
      </c>
      <c r="H259" s="320">
        <v>18</v>
      </c>
    </row>
    <row r="260" spans="2:8" s="311" customFormat="1" ht="19.75" customHeight="1" x14ac:dyDescent="0.3">
      <c r="B260" s="319">
        <v>2023</v>
      </c>
      <c r="C260" s="310" t="s">
        <v>80</v>
      </c>
      <c r="D260" s="312">
        <v>28</v>
      </c>
      <c r="E260" s="312"/>
      <c r="F260" s="312">
        <v>8</v>
      </c>
      <c r="G260" s="310" t="s">
        <v>652</v>
      </c>
      <c r="H260" s="320">
        <v>18</v>
      </c>
    </row>
    <row r="261" spans="2:8" s="311" customFormat="1" ht="19.75" customHeight="1" x14ac:dyDescent="0.3">
      <c r="B261" s="319">
        <v>2023</v>
      </c>
      <c r="C261" s="310" t="s">
        <v>81</v>
      </c>
      <c r="D261" s="312">
        <v>2</v>
      </c>
      <c r="E261" s="312"/>
      <c r="F261" s="312"/>
      <c r="G261" s="310" t="s">
        <v>652</v>
      </c>
      <c r="H261" s="320">
        <v>1</v>
      </c>
    </row>
    <row r="262" spans="2:8" s="311" customFormat="1" ht="19.75" customHeight="1" x14ac:dyDescent="0.3">
      <c r="B262" s="319">
        <v>2023</v>
      </c>
      <c r="C262" s="310" t="s">
        <v>82</v>
      </c>
      <c r="D262" s="312">
        <v>68</v>
      </c>
      <c r="E262" s="312"/>
      <c r="F262" s="312">
        <v>2</v>
      </c>
      <c r="G262" s="310" t="s">
        <v>652</v>
      </c>
      <c r="H262" s="320">
        <v>35</v>
      </c>
    </row>
    <row r="263" spans="2:8" s="311" customFormat="1" ht="19.75" customHeight="1" x14ac:dyDescent="0.3">
      <c r="B263" s="319">
        <v>2023</v>
      </c>
      <c r="C263" s="310" t="s">
        <v>84</v>
      </c>
      <c r="D263" s="312">
        <v>10</v>
      </c>
      <c r="E263" s="312"/>
      <c r="F263" s="312">
        <v>6</v>
      </c>
      <c r="G263" s="310" t="s">
        <v>652</v>
      </c>
      <c r="H263" s="320">
        <v>8</v>
      </c>
    </row>
    <row r="264" spans="2:8" s="311" customFormat="1" ht="19.75" customHeight="1" x14ac:dyDescent="0.3">
      <c r="B264" s="319">
        <v>2023</v>
      </c>
      <c r="C264" s="310" t="s">
        <v>85</v>
      </c>
      <c r="D264" s="312">
        <v>8</v>
      </c>
      <c r="E264" s="312"/>
      <c r="F264" s="312"/>
      <c r="G264" s="310" t="s">
        <v>652</v>
      </c>
      <c r="H264" s="320">
        <v>4</v>
      </c>
    </row>
    <row r="265" spans="2:8" s="311" customFormat="1" ht="19.75" customHeight="1" x14ac:dyDescent="0.3">
      <c r="B265" s="319">
        <v>2023</v>
      </c>
      <c r="C265" s="310" t="s">
        <v>86</v>
      </c>
      <c r="D265" s="312">
        <v>106</v>
      </c>
      <c r="E265" s="312"/>
      <c r="F265" s="312">
        <v>10</v>
      </c>
      <c r="G265" s="310" t="s">
        <v>652</v>
      </c>
      <c r="H265" s="320">
        <v>57</v>
      </c>
    </row>
    <row r="266" spans="2:8" s="311" customFormat="1" ht="19.75" customHeight="1" x14ac:dyDescent="0.3">
      <c r="B266" s="319">
        <v>2023</v>
      </c>
      <c r="C266" s="310" t="s">
        <v>87</v>
      </c>
      <c r="D266" s="312">
        <v>16</v>
      </c>
      <c r="E266" s="312"/>
      <c r="F266" s="312">
        <v>4</v>
      </c>
      <c r="G266" s="310" t="s">
        <v>652</v>
      </c>
      <c r="H266" s="320">
        <v>8</v>
      </c>
    </row>
    <row r="267" spans="2:8" s="311" customFormat="1" ht="19.75" customHeight="1" x14ac:dyDescent="0.3">
      <c r="B267" s="319">
        <v>2023</v>
      </c>
      <c r="C267" s="310" t="s">
        <v>88</v>
      </c>
      <c r="D267" s="312"/>
      <c r="E267" s="312">
        <v>102</v>
      </c>
      <c r="F267" s="312"/>
      <c r="G267" s="310" t="s">
        <v>652</v>
      </c>
      <c r="H267" s="320">
        <v>44</v>
      </c>
    </row>
    <row r="268" spans="2:8" s="311" customFormat="1" ht="19.75" customHeight="1" x14ac:dyDescent="0.3">
      <c r="B268" s="319">
        <v>2023</v>
      </c>
      <c r="C268" s="310" t="s">
        <v>89</v>
      </c>
      <c r="D268" s="312"/>
      <c r="E268" s="312">
        <v>882</v>
      </c>
      <c r="F268" s="312"/>
      <c r="G268" s="310" t="s">
        <v>652</v>
      </c>
      <c r="H268" s="320">
        <v>405</v>
      </c>
    </row>
    <row r="269" spans="2:8" s="311" customFormat="1" ht="19.75" customHeight="1" x14ac:dyDescent="0.3">
      <c r="B269" s="319">
        <v>2023</v>
      </c>
      <c r="C269" s="310" t="s">
        <v>90</v>
      </c>
      <c r="D269" s="312"/>
      <c r="E269" s="312">
        <v>50</v>
      </c>
      <c r="F269" s="312"/>
      <c r="G269" s="310" t="s">
        <v>652</v>
      </c>
      <c r="H269" s="320">
        <v>25</v>
      </c>
    </row>
    <row r="270" spans="2:8" s="311" customFormat="1" ht="19.75" customHeight="1" x14ac:dyDescent="0.3">
      <c r="B270" s="319">
        <v>2023</v>
      </c>
      <c r="C270" s="310" t="s">
        <v>91</v>
      </c>
      <c r="D270" s="312"/>
      <c r="E270" s="312">
        <v>3418</v>
      </c>
      <c r="F270" s="312"/>
      <c r="G270" s="310" t="s">
        <v>652</v>
      </c>
      <c r="H270" s="320">
        <v>1647</v>
      </c>
    </row>
    <row r="271" spans="2:8" s="311" customFormat="1" ht="19.75" customHeight="1" x14ac:dyDescent="0.3">
      <c r="B271" s="319">
        <v>2023</v>
      </c>
      <c r="C271" s="310" t="s">
        <v>92</v>
      </c>
      <c r="D271" s="312"/>
      <c r="E271" s="312">
        <v>354</v>
      </c>
      <c r="F271" s="312"/>
      <c r="G271" s="310" t="s">
        <v>652</v>
      </c>
      <c r="H271" s="320">
        <v>176</v>
      </c>
    </row>
    <row r="272" spans="2:8" s="311" customFormat="1" ht="19.75" customHeight="1" x14ac:dyDescent="0.3">
      <c r="B272" s="319">
        <v>2023</v>
      </c>
      <c r="C272" s="310" t="s">
        <v>93</v>
      </c>
      <c r="D272" s="312"/>
      <c r="E272" s="312">
        <v>36</v>
      </c>
      <c r="F272" s="312"/>
      <c r="G272" s="310" t="s">
        <v>652</v>
      </c>
      <c r="H272" s="320">
        <v>18</v>
      </c>
    </row>
    <row r="273" spans="2:8" s="311" customFormat="1" ht="19.75" customHeight="1" x14ac:dyDescent="0.3">
      <c r="B273" s="319">
        <v>2023</v>
      </c>
      <c r="C273" s="310" t="s">
        <v>94</v>
      </c>
      <c r="D273" s="312"/>
      <c r="E273" s="312">
        <v>3820</v>
      </c>
      <c r="F273" s="312"/>
      <c r="G273" s="310" t="s">
        <v>652</v>
      </c>
      <c r="H273" s="320">
        <v>1844</v>
      </c>
    </row>
    <row r="274" spans="2:8" s="311" customFormat="1" ht="19.75" customHeight="1" x14ac:dyDescent="0.3">
      <c r="B274" s="319">
        <v>2023</v>
      </c>
      <c r="C274" s="310" t="s">
        <v>95</v>
      </c>
      <c r="D274" s="312">
        <v>140</v>
      </c>
      <c r="E274" s="312"/>
      <c r="F274" s="312">
        <v>4</v>
      </c>
      <c r="G274" s="310" t="s">
        <v>652</v>
      </c>
      <c r="H274" s="320">
        <v>67</v>
      </c>
    </row>
    <row r="275" spans="2:8" s="311" customFormat="1" ht="19.75" customHeight="1" x14ac:dyDescent="0.3">
      <c r="B275" s="319">
        <v>2023</v>
      </c>
      <c r="C275" s="310" t="s">
        <v>96</v>
      </c>
      <c r="D275" s="312">
        <v>48</v>
      </c>
      <c r="E275" s="312"/>
      <c r="F275" s="312"/>
      <c r="G275" s="310" t="s">
        <v>652</v>
      </c>
      <c r="H275" s="320">
        <v>24</v>
      </c>
    </row>
    <row r="276" spans="2:8" s="311" customFormat="1" ht="19.75" customHeight="1" x14ac:dyDescent="0.3">
      <c r="B276" s="319">
        <v>2023</v>
      </c>
      <c r="C276" s="310" t="s">
        <v>97</v>
      </c>
      <c r="D276" s="312">
        <v>8</v>
      </c>
      <c r="E276" s="312"/>
      <c r="F276" s="312"/>
      <c r="G276" s="310" t="s">
        <v>652</v>
      </c>
      <c r="H276" s="320">
        <v>4</v>
      </c>
    </row>
    <row r="277" spans="2:8" s="311" customFormat="1" ht="19.75" customHeight="1" x14ac:dyDescent="0.3">
      <c r="B277" s="319">
        <v>2023</v>
      </c>
      <c r="C277" s="310" t="s">
        <v>98</v>
      </c>
      <c r="D277" s="312">
        <v>6</v>
      </c>
      <c r="E277" s="312"/>
      <c r="F277" s="312"/>
      <c r="G277" s="310" t="s">
        <v>652</v>
      </c>
      <c r="H277" s="320">
        <v>3</v>
      </c>
    </row>
    <row r="278" spans="2:8" s="311" customFormat="1" ht="19.75" customHeight="1" x14ac:dyDescent="0.3">
      <c r="B278" s="319">
        <v>2023</v>
      </c>
      <c r="C278" s="310" t="s">
        <v>99</v>
      </c>
      <c r="D278" s="312">
        <v>4</v>
      </c>
      <c r="E278" s="312"/>
      <c r="F278" s="312"/>
      <c r="G278" s="310" t="s">
        <v>652</v>
      </c>
      <c r="H278" s="320">
        <v>2</v>
      </c>
    </row>
    <row r="279" spans="2:8" s="311" customFormat="1" ht="19.75" customHeight="1" x14ac:dyDescent="0.3">
      <c r="B279" s="319">
        <v>2023</v>
      </c>
      <c r="C279" s="310" t="s">
        <v>100</v>
      </c>
      <c r="D279" s="312">
        <v>72</v>
      </c>
      <c r="E279" s="312"/>
      <c r="F279" s="312"/>
      <c r="G279" s="310" t="s">
        <v>652</v>
      </c>
      <c r="H279" s="320">
        <v>34</v>
      </c>
    </row>
    <row r="280" spans="2:8" s="311" customFormat="1" ht="19.75" customHeight="1" x14ac:dyDescent="0.3">
      <c r="B280" s="319">
        <v>2023</v>
      </c>
      <c r="C280" s="310" t="s">
        <v>101</v>
      </c>
      <c r="D280" s="312">
        <v>8</v>
      </c>
      <c r="E280" s="312"/>
      <c r="F280" s="312"/>
      <c r="G280" s="310" t="s">
        <v>652</v>
      </c>
      <c r="H280" s="320">
        <v>4</v>
      </c>
    </row>
    <row r="281" spans="2:8" s="311" customFormat="1" ht="19.75" customHeight="1" x14ac:dyDescent="0.3">
      <c r="B281" s="319">
        <v>2023</v>
      </c>
      <c r="C281" s="310" t="s">
        <v>102</v>
      </c>
      <c r="D281" s="312">
        <v>4</v>
      </c>
      <c r="E281" s="312"/>
      <c r="F281" s="312"/>
      <c r="G281" s="310" t="s">
        <v>652</v>
      </c>
      <c r="H281" s="320">
        <v>2</v>
      </c>
    </row>
    <row r="282" spans="2:8" s="311" customFormat="1" ht="19.75" customHeight="1" x14ac:dyDescent="0.3">
      <c r="B282" s="319">
        <v>2023</v>
      </c>
      <c r="C282" s="310" t="s">
        <v>103</v>
      </c>
      <c r="D282" s="312">
        <v>598</v>
      </c>
      <c r="E282" s="312"/>
      <c r="F282" s="312"/>
      <c r="G282" s="310" t="s">
        <v>652</v>
      </c>
      <c r="H282" s="320">
        <v>296</v>
      </c>
    </row>
    <row r="283" spans="2:8" s="311" customFormat="1" ht="19.75" customHeight="1" x14ac:dyDescent="0.3">
      <c r="B283" s="319">
        <v>2023</v>
      </c>
      <c r="C283" s="310" t="s">
        <v>104</v>
      </c>
      <c r="D283" s="312">
        <v>134</v>
      </c>
      <c r="E283" s="312"/>
      <c r="F283" s="312"/>
      <c r="G283" s="310" t="s">
        <v>652</v>
      </c>
      <c r="H283" s="320">
        <v>64</v>
      </c>
    </row>
    <row r="284" spans="2:8" s="311" customFormat="1" ht="19.75" customHeight="1" x14ac:dyDescent="0.3">
      <c r="B284" s="319">
        <v>2023</v>
      </c>
      <c r="C284" s="310" t="s">
        <v>105</v>
      </c>
      <c r="D284" s="312">
        <v>150</v>
      </c>
      <c r="E284" s="312"/>
      <c r="F284" s="312"/>
      <c r="G284" s="310" t="s">
        <v>652</v>
      </c>
      <c r="H284" s="320">
        <v>75</v>
      </c>
    </row>
    <row r="285" spans="2:8" s="311" customFormat="1" ht="19.75" customHeight="1" x14ac:dyDescent="0.3">
      <c r="B285" s="319">
        <v>2023</v>
      </c>
      <c r="C285" s="310" t="s">
        <v>108</v>
      </c>
      <c r="D285" s="312">
        <v>2</v>
      </c>
      <c r="E285" s="312"/>
      <c r="F285" s="312"/>
      <c r="G285" s="310" t="s">
        <v>652</v>
      </c>
      <c r="H285" s="320">
        <v>1</v>
      </c>
    </row>
    <row r="286" spans="2:8" s="311" customFormat="1" ht="19.75" customHeight="1" x14ac:dyDescent="0.3">
      <c r="B286" s="319">
        <v>2023</v>
      </c>
      <c r="C286" s="310" t="s">
        <v>110</v>
      </c>
      <c r="D286" s="312">
        <v>10</v>
      </c>
      <c r="E286" s="312"/>
      <c r="F286" s="312"/>
      <c r="G286" s="310" t="s">
        <v>652</v>
      </c>
      <c r="H286" s="320">
        <v>5</v>
      </c>
    </row>
    <row r="287" spans="2:8" s="311" customFormat="1" ht="19.75" customHeight="1" x14ac:dyDescent="0.3">
      <c r="B287" s="319">
        <v>2023</v>
      </c>
      <c r="C287" s="310" t="s">
        <v>111</v>
      </c>
      <c r="D287" s="312">
        <v>6</v>
      </c>
      <c r="E287" s="312"/>
      <c r="F287" s="312"/>
      <c r="G287" s="310" t="s">
        <v>652</v>
      </c>
      <c r="H287" s="320">
        <v>3</v>
      </c>
    </row>
    <row r="288" spans="2:8" s="311" customFormat="1" ht="19.75" customHeight="1" x14ac:dyDescent="0.3">
      <c r="B288" s="319">
        <v>2023</v>
      </c>
      <c r="C288" s="310" t="s">
        <v>114</v>
      </c>
      <c r="D288" s="312">
        <v>2</v>
      </c>
      <c r="E288" s="312"/>
      <c r="F288" s="312"/>
      <c r="G288" s="310" t="s">
        <v>652</v>
      </c>
      <c r="H288" s="320">
        <v>1</v>
      </c>
    </row>
    <row r="289" spans="2:8" s="311" customFormat="1" ht="19.75" customHeight="1" x14ac:dyDescent="0.3">
      <c r="B289" s="319">
        <v>2023</v>
      </c>
      <c r="C289" s="310" t="s">
        <v>117</v>
      </c>
      <c r="D289" s="312">
        <v>6</v>
      </c>
      <c r="E289" s="312"/>
      <c r="F289" s="312"/>
      <c r="G289" s="310" t="s">
        <v>652</v>
      </c>
      <c r="H289" s="320">
        <v>2</v>
      </c>
    </row>
    <row r="290" spans="2:8" s="311" customFormat="1" ht="19.75" customHeight="1" x14ac:dyDescent="0.3">
      <c r="B290" s="319">
        <v>2023</v>
      </c>
      <c r="C290" s="310" t="s">
        <v>124</v>
      </c>
      <c r="D290" s="312">
        <v>8</v>
      </c>
      <c r="E290" s="312"/>
      <c r="F290" s="312">
        <v>2</v>
      </c>
      <c r="G290" s="310" t="s">
        <v>652</v>
      </c>
      <c r="H290" s="320">
        <v>5</v>
      </c>
    </row>
    <row r="291" spans="2:8" s="311" customFormat="1" ht="19.75" customHeight="1" x14ac:dyDescent="0.3">
      <c r="B291" s="319">
        <v>2023</v>
      </c>
      <c r="C291" s="310" t="s">
        <v>125</v>
      </c>
      <c r="D291" s="312">
        <v>4</v>
      </c>
      <c r="E291" s="312"/>
      <c r="F291" s="312">
        <v>8</v>
      </c>
      <c r="G291" s="310" t="s">
        <v>652</v>
      </c>
      <c r="H291" s="320">
        <v>6</v>
      </c>
    </row>
    <row r="292" spans="2:8" s="311" customFormat="1" ht="19.75" customHeight="1" x14ac:dyDescent="0.3">
      <c r="B292" s="319">
        <v>2023</v>
      </c>
      <c r="C292" s="310" t="s">
        <v>126</v>
      </c>
      <c r="D292" s="312"/>
      <c r="E292" s="312">
        <v>14</v>
      </c>
      <c r="F292" s="312"/>
      <c r="G292" s="310" t="s">
        <v>652</v>
      </c>
      <c r="H292" s="320">
        <v>7</v>
      </c>
    </row>
    <row r="293" spans="2:8" s="311" customFormat="1" ht="19.75" customHeight="1" x14ac:dyDescent="0.3">
      <c r="B293" s="319">
        <v>2023</v>
      </c>
      <c r="C293" s="310" t="s">
        <v>127</v>
      </c>
      <c r="D293" s="312"/>
      <c r="E293" s="312">
        <v>304</v>
      </c>
      <c r="F293" s="312"/>
      <c r="G293" s="310" t="s">
        <v>652</v>
      </c>
      <c r="H293" s="320">
        <v>149</v>
      </c>
    </row>
    <row r="294" spans="2:8" s="311" customFormat="1" ht="19.75" customHeight="1" x14ac:dyDescent="0.3">
      <c r="B294" s="319">
        <v>2023</v>
      </c>
      <c r="C294" s="310" t="s">
        <v>128</v>
      </c>
      <c r="D294" s="312"/>
      <c r="E294" s="312">
        <v>28</v>
      </c>
      <c r="F294" s="312"/>
      <c r="G294" s="310" t="s">
        <v>652</v>
      </c>
      <c r="H294" s="320">
        <v>14</v>
      </c>
    </row>
    <row r="295" spans="2:8" s="311" customFormat="1" ht="19.75" customHeight="1" x14ac:dyDescent="0.3">
      <c r="B295" s="319">
        <v>2023</v>
      </c>
      <c r="C295" s="310" t="s">
        <v>129</v>
      </c>
      <c r="D295" s="312"/>
      <c r="E295" s="312">
        <v>450</v>
      </c>
      <c r="F295" s="312"/>
      <c r="G295" s="310" t="s">
        <v>652</v>
      </c>
      <c r="H295" s="320">
        <v>225</v>
      </c>
    </row>
    <row r="296" spans="2:8" s="311" customFormat="1" ht="19.75" customHeight="1" x14ac:dyDescent="0.3">
      <c r="B296" s="319">
        <v>2023</v>
      </c>
      <c r="C296" s="310" t="s">
        <v>130</v>
      </c>
      <c r="D296" s="312"/>
      <c r="E296" s="312">
        <v>400</v>
      </c>
      <c r="F296" s="312"/>
      <c r="G296" s="310" t="s">
        <v>652</v>
      </c>
      <c r="H296" s="320">
        <v>200</v>
      </c>
    </row>
    <row r="297" spans="2:8" s="311" customFormat="1" ht="19.75" customHeight="1" x14ac:dyDescent="0.3">
      <c r="B297" s="319">
        <v>2023</v>
      </c>
      <c r="C297" s="310" t="s">
        <v>131</v>
      </c>
      <c r="D297" s="312">
        <v>2</v>
      </c>
      <c r="E297" s="312">
        <v>218</v>
      </c>
      <c r="F297" s="312"/>
      <c r="G297" s="310" t="s">
        <v>652</v>
      </c>
      <c r="H297" s="320">
        <v>110</v>
      </c>
    </row>
    <row r="298" spans="2:8" s="311" customFormat="1" ht="19.75" customHeight="1" x14ac:dyDescent="0.3">
      <c r="B298" s="319">
        <v>2023</v>
      </c>
      <c r="C298" s="310" t="s">
        <v>132</v>
      </c>
      <c r="D298" s="312"/>
      <c r="E298" s="312">
        <v>130</v>
      </c>
      <c r="F298" s="312"/>
      <c r="G298" s="310" t="s">
        <v>652</v>
      </c>
      <c r="H298" s="320">
        <v>65</v>
      </c>
    </row>
    <row r="299" spans="2:8" s="311" customFormat="1" ht="19.75" customHeight="1" x14ac:dyDescent="0.3">
      <c r="B299" s="319">
        <v>2023</v>
      </c>
      <c r="C299" s="310" t="s">
        <v>133</v>
      </c>
      <c r="D299" s="312"/>
      <c r="E299" s="312">
        <v>122</v>
      </c>
      <c r="F299" s="312"/>
      <c r="G299" s="310" t="s">
        <v>652</v>
      </c>
      <c r="H299" s="320">
        <v>50</v>
      </c>
    </row>
    <row r="300" spans="2:8" s="311" customFormat="1" ht="19.75" customHeight="1" x14ac:dyDescent="0.3">
      <c r="B300" s="319">
        <v>2023</v>
      </c>
      <c r="C300" s="310" t="s">
        <v>134</v>
      </c>
      <c r="D300" s="312"/>
      <c r="E300" s="312">
        <v>16</v>
      </c>
      <c r="F300" s="312"/>
      <c r="G300" s="310" t="s">
        <v>652</v>
      </c>
      <c r="H300" s="320">
        <v>8</v>
      </c>
    </row>
    <row r="301" spans="2:8" s="311" customFormat="1" ht="19.75" customHeight="1" x14ac:dyDescent="0.3">
      <c r="B301" s="319">
        <v>2023</v>
      </c>
      <c r="C301" s="310" t="s">
        <v>135</v>
      </c>
      <c r="D301" s="312"/>
      <c r="E301" s="312">
        <v>14</v>
      </c>
      <c r="F301" s="312"/>
      <c r="G301" s="310" t="s">
        <v>652</v>
      </c>
      <c r="H301" s="320">
        <v>7</v>
      </c>
    </row>
    <row r="302" spans="2:8" s="311" customFormat="1" ht="19.75" customHeight="1" x14ac:dyDescent="0.3">
      <c r="B302" s="319">
        <v>2023</v>
      </c>
      <c r="C302" s="310" t="s">
        <v>136</v>
      </c>
      <c r="D302" s="312"/>
      <c r="E302" s="312">
        <v>42</v>
      </c>
      <c r="F302" s="312"/>
      <c r="G302" s="310" t="s">
        <v>652</v>
      </c>
      <c r="H302" s="320">
        <v>21</v>
      </c>
    </row>
    <row r="303" spans="2:8" s="311" customFormat="1" ht="19.75" customHeight="1" x14ac:dyDescent="0.3">
      <c r="B303" s="319">
        <v>2023</v>
      </c>
      <c r="C303" s="310" t="s">
        <v>138</v>
      </c>
      <c r="D303" s="312"/>
      <c r="E303" s="312">
        <v>124</v>
      </c>
      <c r="F303" s="312"/>
      <c r="G303" s="310" t="s">
        <v>652</v>
      </c>
      <c r="H303" s="320">
        <v>60</v>
      </c>
    </row>
    <row r="304" spans="2:8" s="311" customFormat="1" ht="19.75" customHeight="1" x14ac:dyDescent="0.3">
      <c r="B304" s="319">
        <v>2023</v>
      </c>
      <c r="C304" s="310" t="s">
        <v>139</v>
      </c>
      <c r="D304" s="312"/>
      <c r="E304" s="312">
        <v>14</v>
      </c>
      <c r="F304" s="312"/>
      <c r="G304" s="310" t="s">
        <v>652</v>
      </c>
      <c r="H304" s="320">
        <v>7</v>
      </c>
    </row>
    <row r="305" spans="2:8" s="311" customFormat="1" ht="19.75" customHeight="1" x14ac:dyDescent="0.3">
      <c r="B305" s="319">
        <v>2023</v>
      </c>
      <c r="C305" s="310" t="s">
        <v>140</v>
      </c>
      <c r="D305" s="312"/>
      <c r="E305" s="312">
        <v>248</v>
      </c>
      <c r="F305" s="312"/>
      <c r="G305" s="310" t="s">
        <v>652</v>
      </c>
      <c r="H305" s="320">
        <v>123</v>
      </c>
    </row>
    <row r="306" spans="2:8" s="311" customFormat="1" ht="19.75" customHeight="1" x14ac:dyDescent="0.3">
      <c r="B306" s="319">
        <v>2023</v>
      </c>
      <c r="C306" s="310" t="s">
        <v>141</v>
      </c>
      <c r="D306" s="312"/>
      <c r="E306" s="312">
        <v>86</v>
      </c>
      <c r="F306" s="312"/>
      <c r="G306" s="310" t="s">
        <v>652</v>
      </c>
      <c r="H306" s="320">
        <v>41</v>
      </c>
    </row>
    <row r="307" spans="2:8" s="311" customFormat="1" ht="19.75" customHeight="1" x14ac:dyDescent="0.3">
      <c r="B307" s="319">
        <v>2023</v>
      </c>
      <c r="C307" s="310" t="s">
        <v>143</v>
      </c>
      <c r="D307" s="312"/>
      <c r="E307" s="312">
        <v>18</v>
      </c>
      <c r="F307" s="312"/>
      <c r="G307" s="310" t="s">
        <v>652</v>
      </c>
      <c r="H307" s="320">
        <v>9</v>
      </c>
    </row>
    <row r="308" spans="2:8" s="311" customFormat="1" ht="19.75" customHeight="1" x14ac:dyDescent="0.3">
      <c r="B308" s="319">
        <v>2023</v>
      </c>
      <c r="C308" s="310" t="s">
        <v>144</v>
      </c>
      <c r="D308" s="312"/>
      <c r="E308" s="312">
        <v>4</v>
      </c>
      <c r="F308" s="312"/>
      <c r="G308" s="310" t="s">
        <v>652</v>
      </c>
      <c r="H308" s="320">
        <v>2</v>
      </c>
    </row>
    <row r="309" spans="2:8" s="311" customFormat="1" ht="19.75" customHeight="1" x14ac:dyDescent="0.3">
      <c r="B309" s="319">
        <v>2023</v>
      </c>
      <c r="C309" s="310" t="s">
        <v>145</v>
      </c>
      <c r="D309" s="312"/>
      <c r="E309" s="312">
        <v>82</v>
      </c>
      <c r="F309" s="312"/>
      <c r="G309" s="310" t="s">
        <v>652</v>
      </c>
      <c r="H309" s="320">
        <v>41</v>
      </c>
    </row>
    <row r="310" spans="2:8" s="311" customFormat="1" ht="19.75" customHeight="1" x14ac:dyDescent="0.3">
      <c r="B310" s="319">
        <v>2023</v>
      </c>
      <c r="C310" s="310" t="s">
        <v>146</v>
      </c>
      <c r="D310" s="312"/>
      <c r="E310" s="312">
        <v>58</v>
      </c>
      <c r="F310" s="312"/>
      <c r="G310" s="310" t="s">
        <v>652</v>
      </c>
      <c r="H310" s="320">
        <v>29</v>
      </c>
    </row>
    <row r="311" spans="2:8" s="311" customFormat="1" ht="19.75" customHeight="1" x14ac:dyDescent="0.3">
      <c r="B311" s="319">
        <v>2023</v>
      </c>
      <c r="C311" s="310" t="s">
        <v>149</v>
      </c>
      <c r="D311" s="312"/>
      <c r="E311" s="312">
        <v>8</v>
      </c>
      <c r="F311" s="312"/>
      <c r="G311" s="310" t="s">
        <v>652</v>
      </c>
      <c r="H311" s="320">
        <v>4</v>
      </c>
    </row>
    <row r="312" spans="2:8" s="311" customFormat="1" ht="19.75" customHeight="1" x14ac:dyDescent="0.3">
      <c r="B312" s="319">
        <v>2024</v>
      </c>
      <c r="C312" s="310" t="s">
        <v>7</v>
      </c>
      <c r="D312" s="312">
        <v>4</v>
      </c>
      <c r="E312" s="312"/>
      <c r="F312" s="312">
        <v>4</v>
      </c>
      <c r="G312" s="310" t="s">
        <v>652</v>
      </c>
      <c r="H312" s="320">
        <v>4</v>
      </c>
    </row>
    <row r="313" spans="2:8" s="311" customFormat="1" ht="19.75" customHeight="1" x14ac:dyDescent="0.3">
      <c r="B313" s="319">
        <v>2024</v>
      </c>
      <c r="C313" s="310" t="s">
        <v>8</v>
      </c>
      <c r="D313" s="312">
        <v>2</v>
      </c>
      <c r="E313" s="312"/>
      <c r="F313" s="312">
        <v>4</v>
      </c>
      <c r="G313" s="310" t="s">
        <v>652</v>
      </c>
      <c r="H313" s="320">
        <v>3</v>
      </c>
    </row>
    <row r="314" spans="2:8" s="311" customFormat="1" ht="19.75" customHeight="1" x14ac:dyDescent="0.3">
      <c r="B314" s="319">
        <v>2024</v>
      </c>
      <c r="C314" s="310" t="s">
        <v>10</v>
      </c>
      <c r="D314" s="312">
        <v>6</v>
      </c>
      <c r="E314" s="312"/>
      <c r="F314" s="312">
        <v>6</v>
      </c>
      <c r="G314" s="310" t="s">
        <v>652</v>
      </c>
      <c r="H314" s="320">
        <v>6</v>
      </c>
    </row>
    <row r="315" spans="2:8" s="311" customFormat="1" ht="19.75" customHeight="1" x14ac:dyDescent="0.3">
      <c r="B315" s="319">
        <v>2024</v>
      </c>
      <c r="C315" s="310" t="s">
        <v>11</v>
      </c>
      <c r="D315" s="312">
        <v>4</v>
      </c>
      <c r="E315" s="312"/>
      <c r="F315" s="312">
        <v>14</v>
      </c>
      <c r="G315" s="310" t="s">
        <v>652</v>
      </c>
      <c r="H315" s="320">
        <v>9</v>
      </c>
    </row>
    <row r="316" spans="2:8" s="311" customFormat="1" ht="19.75" customHeight="1" x14ac:dyDescent="0.3">
      <c r="B316" s="319">
        <v>2024</v>
      </c>
      <c r="C316" s="310" t="s">
        <v>12</v>
      </c>
      <c r="D316" s="312">
        <v>6</v>
      </c>
      <c r="E316" s="312"/>
      <c r="F316" s="312">
        <v>18</v>
      </c>
      <c r="G316" s="310" t="s">
        <v>652</v>
      </c>
      <c r="H316" s="320">
        <v>12</v>
      </c>
    </row>
    <row r="317" spans="2:8" s="311" customFormat="1" ht="19.75" customHeight="1" x14ac:dyDescent="0.3">
      <c r="B317" s="319">
        <v>2024</v>
      </c>
      <c r="C317" s="310" t="s">
        <v>13</v>
      </c>
      <c r="D317" s="312">
        <v>6</v>
      </c>
      <c r="E317" s="312"/>
      <c r="F317" s="312">
        <v>6</v>
      </c>
      <c r="G317" s="310" t="s">
        <v>652</v>
      </c>
      <c r="H317" s="320">
        <v>6</v>
      </c>
    </row>
    <row r="318" spans="2:8" s="311" customFormat="1" ht="19.75" customHeight="1" x14ac:dyDescent="0.3">
      <c r="B318" s="319">
        <v>2024</v>
      </c>
      <c r="C318" s="310" t="s">
        <v>14</v>
      </c>
      <c r="D318" s="312">
        <v>40</v>
      </c>
      <c r="E318" s="312"/>
      <c r="F318" s="312"/>
      <c r="G318" s="310" t="s">
        <v>652</v>
      </c>
      <c r="H318" s="320">
        <v>20</v>
      </c>
    </row>
    <row r="319" spans="2:8" s="311" customFormat="1" ht="19.75" customHeight="1" x14ac:dyDescent="0.3">
      <c r="B319" s="319">
        <v>2024</v>
      </c>
      <c r="C319" s="310" t="s">
        <v>17</v>
      </c>
      <c r="D319" s="312">
        <v>56</v>
      </c>
      <c r="E319" s="312"/>
      <c r="F319" s="312"/>
      <c r="G319" s="310" t="s">
        <v>652</v>
      </c>
      <c r="H319" s="320">
        <v>24</v>
      </c>
    </row>
    <row r="320" spans="2:8" s="311" customFormat="1" ht="19.75" customHeight="1" x14ac:dyDescent="0.3">
      <c r="B320" s="319">
        <v>2024</v>
      </c>
      <c r="C320" s="310" t="s">
        <v>18</v>
      </c>
      <c r="D320" s="312">
        <v>4</v>
      </c>
      <c r="E320" s="312"/>
      <c r="F320" s="312"/>
      <c r="G320" s="310" t="s">
        <v>652</v>
      </c>
      <c r="H320" s="320">
        <v>2</v>
      </c>
    </row>
    <row r="321" spans="2:8" s="311" customFormat="1" ht="19.75" customHeight="1" x14ac:dyDescent="0.3">
      <c r="B321" s="319">
        <v>2024</v>
      </c>
      <c r="C321" s="310" t="s">
        <v>20</v>
      </c>
      <c r="D321" s="312">
        <v>28</v>
      </c>
      <c r="E321" s="312"/>
      <c r="F321" s="312">
        <v>2</v>
      </c>
      <c r="G321" s="310" t="s">
        <v>652</v>
      </c>
      <c r="H321" s="320">
        <v>15</v>
      </c>
    </row>
    <row r="322" spans="2:8" s="311" customFormat="1" ht="19.75" customHeight="1" x14ac:dyDescent="0.3">
      <c r="B322" s="319">
        <v>2024</v>
      </c>
      <c r="C322" s="310" t="s">
        <v>21</v>
      </c>
      <c r="D322" s="312">
        <v>4</v>
      </c>
      <c r="E322" s="312"/>
      <c r="F322" s="312"/>
      <c r="G322" s="310" t="s">
        <v>652</v>
      </c>
      <c r="H322" s="320">
        <v>2</v>
      </c>
    </row>
    <row r="323" spans="2:8" s="311" customFormat="1" ht="19.75" customHeight="1" x14ac:dyDescent="0.3">
      <c r="B323" s="319">
        <v>2024</v>
      </c>
      <c r="C323" s="310" t="s">
        <v>22</v>
      </c>
      <c r="D323" s="312">
        <v>6</v>
      </c>
      <c r="E323" s="312"/>
      <c r="F323" s="312"/>
      <c r="G323" s="310" t="s">
        <v>652</v>
      </c>
      <c r="H323" s="320">
        <v>3</v>
      </c>
    </row>
    <row r="324" spans="2:8" s="311" customFormat="1" ht="19.75" customHeight="1" x14ac:dyDescent="0.3">
      <c r="B324" s="319">
        <v>2024</v>
      </c>
      <c r="C324" s="310" t="s">
        <v>23</v>
      </c>
      <c r="D324" s="312">
        <v>84</v>
      </c>
      <c r="E324" s="312"/>
      <c r="F324" s="312">
        <v>2</v>
      </c>
      <c r="G324" s="310" t="s">
        <v>652</v>
      </c>
      <c r="H324" s="320">
        <v>40</v>
      </c>
    </row>
    <row r="325" spans="2:8" s="311" customFormat="1" ht="19.75" customHeight="1" x14ac:dyDescent="0.3">
      <c r="B325" s="319">
        <v>2024</v>
      </c>
      <c r="C325" s="310" t="s">
        <v>24</v>
      </c>
      <c r="D325" s="312">
        <v>26</v>
      </c>
      <c r="E325" s="312"/>
      <c r="F325" s="312"/>
      <c r="G325" s="310" t="s">
        <v>652</v>
      </c>
      <c r="H325" s="320">
        <v>13</v>
      </c>
    </row>
    <row r="326" spans="2:8" s="311" customFormat="1" ht="19.75" customHeight="1" x14ac:dyDescent="0.3">
      <c r="B326" s="319">
        <v>2024</v>
      </c>
      <c r="C326" s="310" t="s">
        <v>26</v>
      </c>
      <c r="D326" s="312">
        <v>22</v>
      </c>
      <c r="E326" s="312"/>
      <c r="F326" s="312">
        <v>16</v>
      </c>
      <c r="G326" s="310" t="s">
        <v>652</v>
      </c>
      <c r="H326" s="320">
        <v>19</v>
      </c>
    </row>
    <row r="327" spans="2:8" s="311" customFormat="1" ht="19.75" customHeight="1" x14ac:dyDescent="0.3">
      <c r="B327" s="319">
        <v>2024</v>
      </c>
      <c r="C327" s="310" t="s">
        <v>27</v>
      </c>
      <c r="D327" s="312">
        <v>8</v>
      </c>
      <c r="E327" s="312"/>
      <c r="F327" s="312"/>
      <c r="G327" s="310" t="s">
        <v>652</v>
      </c>
      <c r="H327" s="320">
        <v>1</v>
      </c>
    </row>
    <row r="328" spans="2:8" s="311" customFormat="1" ht="19.75" customHeight="1" x14ac:dyDescent="0.3">
      <c r="B328" s="319">
        <v>2024</v>
      </c>
      <c r="C328" s="310" t="s">
        <v>28</v>
      </c>
      <c r="D328" s="312">
        <v>6</v>
      </c>
      <c r="E328" s="312"/>
      <c r="F328" s="312">
        <v>4</v>
      </c>
      <c r="G328" s="310" t="s">
        <v>652</v>
      </c>
      <c r="H328" s="320">
        <v>5</v>
      </c>
    </row>
    <row r="329" spans="2:8" s="311" customFormat="1" ht="19.75" customHeight="1" x14ac:dyDescent="0.3">
      <c r="B329" s="319">
        <v>2024</v>
      </c>
      <c r="C329" s="310" t="s">
        <v>29</v>
      </c>
      <c r="D329" s="312">
        <v>66</v>
      </c>
      <c r="E329" s="312"/>
      <c r="F329" s="312">
        <v>18</v>
      </c>
      <c r="G329" s="310" t="s">
        <v>652</v>
      </c>
      <c r="H329" s="320">
        <v>42</v>
      </c>
    </row>
    <row r="330" spans="2:8" s="311" customFormat="1" ht="19.75" customHeight="1" x14ac:dyDescent="0.3">
      <c r="B330" s="319">
        <v>2024</v>
      </c>
      <c r="C330" s="310" t="s">
        <v>30</v>
      </c>
      <c r="D330" s="312">
        <v>20</v>
      </c>
      <c r="E330" s="312"/>
      <c r="F330" s="312">
        <v>14</v>
      </c>
      <c r="G330" s="310" t="s">
        <v>652</v>
      </c>
      <c r="H330" s="320">
        <v>17</v>
      </c>
    </row>
    <row r="331" spans="2:8" s="311" customFormat="1" ht="19.75" customHeight="1" x14ac:dyDescent="0.3">
      <c r="B331" s="319">
        <v>2024</v>
      </c>
      <c r="C331" s="310" t="s">
        <v>32</v>
      </c>
      <c r="D331" s="312">
        <v>28</v>
      </c>
      <c r="E331" s="312"/>
      <c r="F331" s="312">
        <v>34</v>
      </c>
      <c r="G331" s="310" t="s">
        <v>652</v>
      </c>
      <c r="H331" s="320">
        <v>31</v>
      </c>
    </row>
    <row r="332" spans="2:8" s="311" customFormat="1" ht="19.75" customHeight="1" x14ac:dyDescent="0.3">
      <c r="B332" s="319">
        <v>2024</v>
      </c>
      <c r="C332" s="310" t="s">
        <v>33</v>
      </c>
      <c r="D332" s="312">
        <v>4</v>
      </c>
      <c r="E332" s="312"/>
      <c r="F332" s="312"/>
      <c r="G332" s="310" t="s">
        <v>652</v>
      </c>
      <c r="H332" s="320">
        <v>2</v>
      </c>
    </row>
    <row r="333" spans="2:8" s="311" customFormat="1" ht="19.75" customHeight="1" x14ac:dyDescent="0.3">
      <c r="B333" s="319">
        <v>2024</v>
      </c>
      <c r="C333" s="310" t="s">
        <v>34</v>
      </c>
      <c r="D333" s="312">
        <v>6</v>
      </c>
      <c r="E333" s="312"/>
      <c r="F333" s="312"/>
      <c r="G333" s="310" t="s">
        <v>652</v>
      </c>
      <c r="H333" s="320">
        <v>3</v>
      </c>
    </row>
    <row r="334" spans="2:8" s="311" customFormat="1" ht="19.75" customHeight="1" x14ac:dyDescent="0.3">
      <c r="B334" s="319">
        <v>2024</v>
      </c>
      <c r="C334" s="310" t="s">
        <v>35</v>
      </c>
      <c r="D334" s="312">
        <v>2</v>
      </c>
      <c r="E334" s="312"/>
      <c r="F334" s="312"/>
      <c r="G334" s="310" t="s">
        <v>652</v>
      </c>
      <c r="H334" s="320">
        <v>1</v>
      </c>
    </row>
    <row r="335" spans="2:8" s="311" customFormat="1" ht="19.75" customHeight="1" x14ac:dyDescent="0.3">
      <c r="B335" s="319">
        <v>2024</v>
      </c>
      <c r="C335" s="310" t="s">
        <v>46</v>
      </c>
      <c r="D335" s="312">
        <v>8</v>
      </c>
      <c r="E335" s="312"/>
      <c r="F335" s="312"/>
      <c r="G335" s="310" t="s">
        <v>652</v>
      </c>
      <c r="H335" s="320">
        <v>4</v>
      </c>
    </row>
    <row r="336" spans="2:8" s="311" customFormat="1" ht="19.75" customHeight="1" x14ac:dyDescent="0.3">
      <c r="B336" s="319">
        <v>2024</v>
      </c>
      <c r="C336" s="310" t="s">
        <v>54</v>
      </c>
      <c r="D336" s="312">
        <v>40</v>
      </c>
      <c r="E336" s="312"/>
      <c r="F336" s="312">
        <v>42</v>
      </c>
      <c r="G336" s="310" t="s">
        <v>652</v>
      </c>
      <c r="H336" s="320">
        <v>41</v>
      </c>
    </row>
    <row r="337" spans="2:8" s="311" customFormat="1" ht="19.75" customHeight="1" x14ac:dyDescent="0.3">
      <c r="B337" s="319">
        <v>2024</v>
      </c>
      <c r="C337" s="310" t="s">
        <v>55</v>
      </c>
      <c r="D337" s="312">
        <v>2</v>
      </c>
      <c r="E337" s="312"/>
      <c r="F337" s="312"/>
      <c r="G337" s="310" t="s">
        <v>652</v>
      </c>
      <c r="H337" s="320">
        <v>1</v>
      </c>
    </row>
    <row r="338" spans="2:8" s="311" customFormat="1" ht="19.75" customHeight="1" x14ac:dyDescent="0.3">
      <c r="B338" s="319">
        <v>2024</v>
      </c>
      <c r="C338" s="310" t="s">
        <v>56</v>
      </c>
      <c r="D338" s="312">
        <v>2</v>
      </c>
      <c r="E338" s="312"/>
      <c r="F338" s="312">
        <v>6</v>
      </c>
      <c r="G338" s="310" t="s">
        <v>652</v>
      </c>
      <c r="H338" s="320">
        <v>4</v>
      </c>
    </row>
    <row r="339" spans="2:8" s="311" customFormat="1" ht="19.75" customHeight="1" x14ac:dyDescent="0.3">
      <c r="B339" s="319">
        <v>2024</v>
      </c>
      <c r="C339" s="310" t="s">
        <v>57</v>
      </c>
      <c r="D339" s="312">
        <v>296</v>
      </c>
      <c r="E339" s="312"/>
      <c r="F339" s="312">
        <v>16</v>
      </c>
      <c r="G339" s="310" t="s">
        <v>652</v>
      </c>
      <c r="H339" s="320">
        <v>137</v>
      </c>
    </row>
    <row r="340" spans="2:8" s="311" customFormat="1" ht="19.75" customHeight="1" x14ac:dyDescent="0.3">
      <c r="B340" s="319">
        <v>2024</v>
      </c>
      <c r="C340" s="310" t="s">
        <v>58</v>
      </c>
      <c r="D340" s="312">
        <v>10</v>
      </c>
      <c r="E340" s="312"/>
      <c r="F340" s="312">
        <v>4</v>
      </c>
      <c r="G340" s="310" t="s">
        <v>652</v>
      </c>
      <c r="H340" s="320">
        <v>7</v>
      </c>
    </row>
    <row r="341" spans="2:8" s="311" customFormat="1" ht="19.75" customHeight="1" x14ac:dyDescent="0.3">
      <c r="B341" s="319">
        <v>2024</v>
      </c>
      <c r="C341" s="310" t="s">
        <v>59</v>
      </c>
      <c r="D341" s="312">
        <v>40</v>
      </c>
      <c r="E341" s="312"/>
      <c r="F341" s="312">
        <v>26</v>
      </c>
      <c r="G341" s="310" t="s">
        <v>652</v>
      </c>
      <c r="H341" s="320">
        <v>33</v>
      </c>
    </row>
    <row r="342" spans="2:8" s="311" customFormat="1" ht="19.75" customHeight="1" x14ac:dyDescent="0.3">
      <c r="B342" s="319">
        <v>2024</v>
      </c>
      <c r="C342" s="310" t="s">
        <v>60</v>
      </c>
      <c r="D342" s="312">
        <v>2</v>
      </c>
      <c r="E342" s="312"/>
      <c r="F342" s="312"/>
      <c r="G342" s="310" t="s">
        <v>652</v>
      </c>
      <c r="H342" s="320">
        <v>1</v>
      </c>
    </row>
    <row r="343" spans="2:8" s="311" customFormat="1" ht="19.75" customHeight="1" x14ac:dyDescent="0.3">
      <c r="B343" s="319">
        <v>2024</v>
      </c>
      <c r="C343" s="310" t="s">
        <v>61</v>
      </c>
      <c r="D343" s="312">
        <v>4</v>
      </c>
      <c r="E343" s="312"/>
      <c r="F343" s="312">
        <v>8</v>
      </c>
      <c r="G343" s="310" t="s">
        <v>652</v>
      </c>
      <c r="H343" s="320">
        <v>6</v>
      </c>
    </row>
    <row r="344" spans="2:8" s="311" customFormat="1" ht="19.75" customHeight="1" x14ac:dyDescent="0.3">
      <c r="B344" s="319">
        <v>2024</v>
      </c>
      <c r="C344" s="310" t="s">
        <v>64</v>
      </c>
      <c r="D344" s="312">
        <v>4</v>
      </c>
      <c r="E344" s="312"/>
      <c r="F344" s="312">
        <v>6</v>
      </c>
      <c r="G344" s="310" t="s">
        <v>652</v>
      </c>
      <c r="H344" s="320">
        <v>5</v>
      </c>
    </row>
    <row r="345" spans="2:8" s="311" customFormat="1" ht="19.75" customHeight="1" x14ac:dyDescent="0.3">
      <c r="B345" s="319">
        <v>2024</v>
      </c>
      <c r="C345" s="310" t="s">
        <v>68</v>
      </c>
      <c r="D345" s="312">
        <v>146</v>
      </c>
      <c r="E345" s="312"/>
      <c r="F345" s="312">
        <v>8</v>
      </c>
      <c r="G345" s="310" t="s">
        <v>652</v>
      </c>
      <c r="H345" s="320">
        <v>77</v>
      </c>
    </row>
    <row r="346" spans="2:8" s="311" customFormat="1" ht="19.75" customHeight="1" x14ac:dyDescent="0.3">
      <c r="B346" s="319">
        <v>2024</v>
      </c>
      <c r="C346" s="310" t="s">
        <v>70</v>
      </c>
      <c r="D346" s="312">
        <v>162</v>
      </c>
      <c r="E346" s="312"/>
      <c r="F346" s="312">
        <v>18</v>
      </c>
      <c r="G346" s="310" t="s">
        <v>652</v>
      </c>
      <c r="H346" s="320">
        <v>90</v>
      </c>
    </row>
    <row r="347" spans="2:8" s="311" customFormat="1" ht="19.75" customHeight="1" x14ac:dyDescent="0.3">
      <c r="B347" s="319">
        <v>2024</v>
      </c>
      <c r="C347" s="310" t="s">
        <v>71</v>
      </c>
      <c r="D347" s="312">
        <v>2</v>
      </c>
      <c r="E347" s="312"/>
      <c r="F347" s="312"/>
      <c r="G347" s="310" t="s">
        <v>652</v>
      </c>
      <c r="H347" s="320">
        <v>1</v>
      </c>
    </row>
    <row r="348" spans="2:8" s="311" customFormat="1" ht="19.75" customHeight="1" x14ac:dyDescent="0.3">
      <c r="B348" s="319">
        <v>2024</v>
      </c>
      <c r="C348" s="310" t="s">
        <v>72</v>
      </c>
      <c r="D348" s="312">
        <v>398</v>
      </c>
      <c r="E348" s="312"/>
      <c r="F348" s="312">
        <v>32</v>
      </c>
      <c r="G348" s="310" t="s">
        <v>652</v>
      </c>
      <c r="H348" s="320">
        <v>215</v>
      </c>
    </row>
    <row r="349" spans="2:8" s="311" customFormat="1" ht="19.75" customHeight="1" x14ac:dyDescent="0.3">
      <c r="B349" s="319">
        <v>2024</v>
      </c>
      <c r="C349" s="310" t="s">
        <v>73</v>
      </c>
      <c r="D349" s="312">
        <v>2</v>
      </c>
      <c r="E349" s="312"/>
      <c r="F349" s="312">
        <v>16</v>
      </c>
      <c r="G349" s="310" t="s">
        <v>652</v>
      </c>
      <c r="H349" s="320">
        <v>9</v>
      </c>
    </row>
    <row r="350" spans="2:8" s="311" customFormat="1" ht="19.75" customHeight="1" x14ac:dyDescent="0.3">
      <c r="B350" s="319">
        <v>2024</v>
      </c>
      <c r="C350" s="310" t="s">
        <v>75</v>
      </c>
      <c r="D350" s="312">
        <v>192</v>
      </c>
      <c r="E350" s="312"/>
      <c r="F350" s="312">
        <v>38</v>
      </c>
      <c r="G350" s="310" t="s">
        <v>652</v>
      </c>
      <c r="H350" s="320">
        <v>115</v>
      </c>
    </row>
    <row r="351" spans="2:8" s="311" customFormat="1" ht="19.75" customHeight="1" x14ac:dyDescent="0.3">
      <c r="B351" s="319">
        <v>2024</v>
      </c>
      <c r="C351" s="310" t="s">
        <v>76</v>
      </c>
      <c r="D351" s="312">
        <v>156</v>
      </c>
      <c r="E351" s="312"/>
      <c r="F351" s="312">
        <v>14</v>
      </c>
      <c r="G351" s="310" t="s">
        <v>652</v>
      </c>
      <c r="H351" s="320">
        <v>84</v>
      </c>
    </row>
    <row r="352" spans="2:8" s="311" customFormat="1" ht="19.75" customHeight="1" x14ac:dyDescent="0.3">
      <c r="B352" s="319">
        <v>2024</v>
      </c>
      <c r="C352" s="310" t="s">
        <v>77</v>
      </c>
      <c r="D352" s="312">
        <v>402</v>
      </c>
      <c r="E352" s="312"/>
      <c r="F352" s="312">
        <v>34</v>
      </c>
      <c r="G352" s="310" t="s">
        <v>652</v>
      </c>
      <c r="H352" s="320">
        <v>217</v>
      </c>
    </row>
    <row r="353" spans="2:8" s="311" customFormat="1" ht="19.75" customHeight="1" x14ac:dyDescent="0.3">
      <c r="B353" s="319">
        <v>2024</v>
      </c>
      <c r="C353" s="310" t="s">
        <v>78</v>
      </c>
      <c r="D353" s="312">
        <v>76</v>
      </c>
      <c r="E353" s="312"/>
      <c r="F353" s="312"/>
      <c r="G353" s="310" t="s">
        <v>652</v>
      </c>
      <c r="H353" s="320">
        <v>37</v>
      </c>
    </row>
    <row r="354" spans="2:8" s="311" customFormat="1" ht="19.75" customHeight="1" x14ac:dyDescent="0.3">
      <c r="B354" s="319">
        <v>2024</v>
      </c>
      <c r="C354" s="310" t="s">
        <v>79</v>
      </c>
      <c r="D354" s="312">
        <v>96</v>
      </c>
      <c r="E354" s="312"/>
      <c r="F354" s="312">
        <v>8</v>
      </c>
      <c r="G354" s="310" t="s">
        <v>652</v>
      </c>
      <c r="H354" s="320">
        <v>52</v>
      </c>
    </row>
    <row r="355" spans="2:8" s="311" customFormat="1" ht="19.75" customHeight="1" x14ac:dyDescent="0.3">
      <c r="B355" s="319">
        <v>2024</v>
      </c>
      <c r="C355" s="310" t="s">
        <v>343</v>
      </c>
      <c r="D355" s="312">
        <v>168</v>
      </c>
      <c r="E355" s="312">
        <v>2</v>
      </c>
      <c r="F355" s="312"/>
      <c r="G355" s="310" t="s">
        <v>652</v>
      </c>
      <c r="H355" s="320">
        <v>85</v>
      </c>
    </row>
    <row r="356" spans="2:8" s="311" customFormat="1" ht="19.75" customHeight="1" x14ac:dyDescent="0.3">
      <c r="B356" s="319">
        <v>2024</v>
      </c>
      <c r="C356" s="310" t="s">
        <v>80</v>
      </c>
      <c r="D356" s="312">
        <v>24</v>
      </c>
      <c r="E356" s="312"/>
      <c r="F356" s="312">
        <v>20</v>
      </c>
      <c r="G356" s="310" t="s">
        <v>652</v>
      </c>
      <c r="H356" s="320">
        <v>22</v>
      </c>
    </row>
    <row r="357" spans="2:8" s="311" customFormat="1" ht="19.75" customHeight="1" x14ac:dyDescent="0.3">
      <c r="B357" s="319">
        <v>2024</v>
      </c>
      <c r="C357" s="310" t="s">
        <v>81</v>
      </c>
      <c r="D357" s="312">
        <v>2</v>
      </c>
      <c r="E357" s="312"/>
      <c r="F357" s="312"/>
      <c r="G357" s="310" t="s">
        <v>652</v>
      </c>
      <c r="H357" s="320">
        <v>1</v>
      </c>
    </row>
    <row r="358" spans="2:8" s="311" customFormat="1" ht="19.75" customHeight="1" x14ac:dyDescent="0.3">
      <c r="B358" s="319">
        <v>2024</v>
      </c>
      <c r="C358" s="310" t="s">
        <v>82</v>
      </c>
      <c r="D358" s="312">
        <v>68</v>
      </c>
      <c r="E358" s="312"/>
      <c r="F358" s="312">
        <v>2</v>
      </c>
      <c r="G358" s="310" t="s">
        <v>652</v>
      </c>
      <c r="H358" s="320">
        <v>35</v>
      </c>
    </row>
    <row r="359" spans="2:8" s="311" customFormat="1" ht="19.75" customHeight="1" x14ac:dyDescent="0.3">
      <c r="B359" s="319">
        <v>2024</v>
      </c>
      <c r="C359" s="310" t="s">
        <v>84</v>
      </c>
      <c r="D359" s="312">
        <v>8</v>
      </c>
      <c r="E359" s="312"/>
      <c r="F359" s="312">
        <v>4</v>
      </c>
      <c r="G359" s="310" t="s">
        <v>652</v>
      </c>
      <c r="H359" s="320">
        <v>6</v>
      </c>
    </row>
    <row r="360" spans="2:8" s="311" customFormat="1" ht="19.75" customHeight="1" x14ac:dyDescent="0.3">
      <c r="B360" s="319">
        <v>2024</v>
      </c>
      <c r="C360" s="310" t="s">
        <v>85</v>
      </c>
      <c r="D360" s="312">
        <v>8</v>
      </c>
      <c r="E360" s="312"/>
      <c r="F360" s="312"/>
      <c r="G360" s="310" t="s">
        <v>652</v>
      </c>
      <c r="H360" s="320">
        <v>4</v>
      </c>
    </row>
    <row r="361" spans="2:8" s="311" customFormat="1" ht="19.75" customHeight="1" x14ac:dyDescent="0.3">
      <c r="B361" s="319">
        <v>2024</v>
      </c>
      <c r="C361" s="310" t="s">
        <v>86</v>
      </c>
      <c r="D361" s="312">
        <v>76</v>
      </c>
      <c r="E361" s="312"/>
      <c r="F361" s="312">
        <v>28</v>
      </c>
      <c r="G361" s="310" t="s">
        <v>652</v>
      </c>
      <c r="H361" s="320">
        <v>51</v>
      </c>
    </row>
    <row r="362" spans="2:8" s="311" customFormat="1" ht="19.75" customHeight="1" x14ac:dyDescent="0.3">
      <c r="B362" s="319">
        <v>2024</v>
      </c>
      <c r="C362" s="310" t="s">
        <v>87</v>
      </c>
      <c r="D362" s="312">
        <v>8</v>
      </c>
      <c r="E362" s="312"/>
      <c r="F362" s="312">
        <v>6</v>
      </c>
      <c r="G362" s="310" t="s">
        <v>652</v>
      </c>
      <c r="H362" s="320">
        <v>7</v>
      </c>
    </row>
    <row r="363" spans="2:8" s="311" customFormat="1" ht="19.75" customHeight="1" x14ac:dyDescent="0.3">
      <c r="B363" s="319">
        <v>2024</v>
      </c>
      <c r="C363" s="310" t="s">
        <v>88</v>
      </c>
      <c r="D363" s="312"/>
      <c r="E363" s="312">
        <v>130</v>
      </c>
      <c r="F363" s="312"/>
      <c r="G363" s="310" t="s">
        <v>652</v>
      </c>
      <c r="H363" s="320">
        <v>57</v>
      </c>
    </row>
    <row r="364" spans="2:8" s="311" customFormat="1" ht="19.75" customHeight="1" x14ac:dyDescent="0.3">
      <c r="B364" s="319">
        <v>2024</v>
      </c>
      <c r="C364" s="310" t="s">
        <v>89</v>
      </c>
      <c r="D364" s="312"/>
      <c r="E364" s="312">
        <v>686</v>
      </c>
      <c r="F364" s="312"/>
      <c r="G364" s="310" t="s">
        <v>652</v>
      </c>
      <c r="H364" s="320">
        <v>325</v>
      </c>
    </row>
    <row r="365" spans="2:8" s="311" customFormat="1" ht="19.75" customHeight="1" x14ac:dyDescent="0.3">
      <c r="B365" s="319">
        <v>2024</v>
      </c>
      <c r="C365" s="310" t="s">
        <v>90</v>
      </c>
      <c r="D365" s="312"/>
      <c r="E365" s="312">
        <v>52</v>
      </c>
      <c r="F365" s="312"/>
      <c r="G365" s="310" t="s">
        <v>652</v>
      </c>
      <c r="H365" s="320">
        <v>26</v>
      </c>
    </row>
    <row r="366" spans="2:8" s="311" customFormat="1" ht="19.75" customHeight="1" x14ac:dyDescent="0.3">
      <c r="B366" s="319">
        <v>2024</v>
      </c>
      <c r="C366" s="310" t="s">
        <v>91</v>
      </c>
      <c r="D366" s="312"/>
      <c r="E366" s="312">
        <v>3252</v>
      </c>
      <c r="F366" s="312"/>
      <c r="G366" s="310" t="s">
        <v>652</v>
      </c>
      <c r="H366" s="320">
        <v>1552</v>
      </c>
    </row>
    <row r="367" spans="2:8" s="311" customFormat="1" ht="19.75" customHeight="1" x14ac:dyDescent="0.3">
      <c r="B367" s="319">
        <v>2024</v>
      </c>
      <c r="C367" s="310" t="s">
        <v>92</v>
      </c>
      <c r="D367" s="312"/>
      <c r="E367" s="312">
        <v>358</v>
      </c>
      <c r="F367" s="312"/>
      <c r="G367" s="310" t="s">
        <v>652</v>
      </c>
      <c r="H367" s="320">
        <v>179</v>
      </c>
    </row>
    <row r="368" spans="2:8" s="311" customFormat="1" ht="19.75" customHeight="1" x14ac:dyDescent="0.3">
      <c r="B368" s="319">
        <v>2024</v>
      </c>
      <c r="C368" s="310" t="s">
        <v>93</v>
      </c>
      <c r="D368" s="312"/>
      <c r="E368" s="312">
        <v>56</v>
      </c>
      <c r="F368" s="312"/>
      <c r="G368" s="310" t="s">
        <v>652</v>
      </c>
      <c r="H368" s="320">
        <v>26</v>
      </c>
    </row>
    <row r="369" spans="2:8" s="311" customFormat="1" ht="19.75" customHeight="1" x14ac:dyDescent="0.3">
      <c r="B369" s="319">
        <v>2024</v>
      </c>
      <c r="C369" s="310" t="s">
        <v>94</v>
      </c>
      <c r="D369" s="312"/>
      <c r="E369" s="312">
        <v>3904</v>
      </c>
      <c r="F369" s="312"/>
      <c r="G369" s="310" t="s">
        <v>652</v>
      </c>
      <c r="H369" s="320">
        <v>1882</v>
      </c>
    </row>
    <row r="370" spans="2:8" s="311" customFormat="1" ht="19.75" customHeight="1" x14ac:dyDescent="0.3">
      <c r="B370" s="319">
        <v>2024</v>
      </c>
      <c r="C370" s="310" t="s">
        <v>95</v>
      </c>
      <c r="D370" s="312">
        <v>148</v>
      </c>
      <c r="E370" s="312"/>
      <c r="F370" s="312">
        <v>10</v>
      </c>
      <c r="G370" s="310" t="s">
        <v>652</v>
      </c>
      <c r="H370" s="320">
        <v>77</v>
      </c>
    </row>
    <row r="371" spans="2:8" s="311" customFormat="1" ht="19.75" customHeight="1" x14ac:dyDescent="0.3">
      <c r="B371" s="319">
        <v>2024</v>
      </c>
      <c r="C371" s="310" t="s">
        <v>96</v>
      </c>
      <c r="D371" s="312">
        <v>48</v>
      </c>
      <c r="E371" s="312"/>
      <c r="F371" s="312"/>
      <c r="G371" s="310" t="s">
        <v>652</v>
      </c>
      <c r="H371" s="320">
        <v>24</v>
      </c>
    </row>
    <row r="372" spans="2:8" s="311" customFormat="1" ht="19.75" customHeight="1" x14ac:dyDescent="0.3">
      <c r="B372" s="319">
        <v>2024</v>
      </c>
      <c r="C372" s="310" t="s">
        <v>97</v>
      </c>
      <c r="D372" s="312">
        <v>8</v>
      </c>
      <c r="E372" s="312"/>
      <c r="F372" s="312"/>
      <c r="G372" s="310" t="s">
        <v>652</v>
      </c>
      <c r="H372" s="320">
        <v>4</v>
      </c>
    </row>
    <row r="373" spans="2:8" s="311" customFormat="1" ht="19.75" customHeight="1" x14ac:dyDescent="0.3">
      <c r="B373" s="319">
        <v>2024</v>
      </c>
      <c r="C373" s="310" t="s">
        <v>99</v>
      </c>
      <c r="D373" s="312">
        <v>2</v>
      </c>
      <c r="E373" s="312"/>
      <c r="F373" s="312"/>
      <c r="G373" s="310" t="s">
        <v>652</v>
      </c>
      <c r="H373" s="320">
        <v>1</v>
      </c>
    </row>
    <row r="374" spans="2:8" s="311" customFormat="1" ht="19.75" customHeight="1" x14ac:dyDescent="0.3">
      <c r="B374" s="319">
        <v>2024</v>
      </c>
      <c r="C374" s="310" t="s">
        <v>100</v>
      </c>
      <c r="D374" s="312">
        <v>72</v>
      </c>
      <c r="E374" s="312"/>
      <c r="F374" s="312"/>
      <c r="G374" s="310" t="s">
        <v>652</v>
      </c>
      <c r="H374" s="320">
        <v>36</v>
      </c>
    </row>
    <row r="375" spans="2:8" s="311" customFormat="1" ht="19.75" customHeight="1" x14ac:dyDescent="0.3">
      <c r="B375" s="319">
        <v>2024</v>
      </c>
      <c r="C375" s="310" t="s">
        <v>101</v>
      </c>
      <c r="D375" s="312">
        <v>12</v>
      </c>
      <c r="E375" s="312"/>
      <c r="F375" s="312"/>
      <c r="G375" s="310" t="s">
        <v>652</v>
      </c>
      <c r="H375" s="320">
        <v>6</v>
      </c>
    </row>
    <row r="376" spans="2:8" s="311" customFormat="1" ht="19.75" customHeight="1" x14ac:dyDescent="0.3">
      <c r="B376" s="319">
        <v>2024</v>
      </c>
      <c r="C376" s="310" t="s">
        <v>102</v>
      </c>
      <c r="D376" s="312">
        <v>8</v>
      </c>
      <c r="E376" s="312"/>
      <c r="F376" s="312"/>
      <c r="G376" s="310" t="s">
        <v>652</v>
      </c>
      <c r="H376" s="320">
        <v>4</v>
      </c>
    </row>
    <row r="377" spans="2:8" s="311" customFormat="1" ht="19.75" customHeight="1" x14ac:dyDescent="0.3">
      <c r="B377" s="319">
        <v>2024</v>
      </c>
      <c r="C377" s="310" t="s">
        <v>103</v>
      </c>
      <c r="D377" s="312">
        <v>642</v>
      </c>
      <c r="E377" s="312"/>
      <c r="F377" s="312"/>
      <c r="G377" s="310" t="s">
        <v>652</v>
      </c>
      <c r="H377" s="320">
        <v>318</v>
      </c>
    </row>
    <row r="378" spans="2:8" s="311" customFormat="1" ht="19.75" customHeight="1" x14ac:dyDescent="0.3">
      <c r="B378" s="319">
        <v>2024</v>
      </c>
      <c r="C378" s="310" t="s">
        <v>104</v>
      </c>
      <c r="D378" s="312">
        <v>184</v>
      </c>
      <c r="E378" s="312"/>
      <c r="F378" s="312"/>
      <c r="G378" s="310" t="s">
        <v>652</v>
      </c>
      <c r="H378" s="320">
        <v>92</v>
      </c>
    </row>
    <row r="379" spans="2:8" s="311" customFormat="1" ht="19.75" customHeight="1" x14ac:dyDescent="0.3">
      <c r="B379" s="319">
        <v>2024</v>
      </c>
      <c r="C379" s="310" t="s">
        <v>105</v>
      </c>
      <c r="D379" s="312">
        <v>72</v>
      </c>
      <c r="E379" s="312"/>
      <c r="F379" s="312"/>
      <c r="G379" s="310" t="s">
        <v>652</v>
      </c>
      <c r="H379" s="320">
        <v>36</v>
      </c>
    </row>
    <row r="380" spans="2:8" s="311" customFormat="1" ht="19.75" customHeight="1" x14ac:dyDescent="0.3">
      <c r="B380" s="319">
        <v>2024</v>
      </c>
      <c r="C380" s="310" t="s">
        <v>107</v>
      </c>
      <c r="D380" s="312">
        <v>2</v>
      </c>
      <c r="E380" s="312"/>
      <c r="F380" s="312"/>
      <c r="G380" s="310" t="s">
        <v>652</v>
      </c>
      <c r="H380" s="320">
        <v>1</v>
      </c>
    </row>
    <row r="381" spans="2:8" s="311" customFormat="1" ht="19.75" customHeight="1" x14ac:dyDescent="0.3">
      <c r="B381" s="319">
        <v>2024</v>
      </c>
      <c r="C381" s="310" t="s">
        <v>108</v>
      </c>
      <c r="D381" s="312">
        <v>10</v>
      </c>
      <c r="E381" s="312"/>
      <c r="F381" s="312"/>
      <c r="G381" s="310" t="s">
        <v>652</v>
      </c>
      <c r="H381" s="320">
        <v>5</v>
      </c>
    </row>
    <row r="382" spans="2:8" s="311" customFormat="1" ht="19.75" customHeight="1" x14ac:dyDescent="0.3">
      <c r="B382" s="319">
        <v>2024</v>
      </c>
      <c r="C382" s="310" t="s">
        <v>110</v>
      </c>
      <c r="D382" s="312">
        <v>6</v>
      </c>
      <c r="E382" s="312"/>
      <c r="F382" s="312"/>
      <c r="G382" s="310" t="s">
        <v>652</v>
      </c>
      <c r="H382" s="320">
        <v>3</v>
      </c>
    </row>
    <row r="383" spans="2:8" s="311" customFormat="1" ht="19.75" customHeight="1" x14ac:dyDescent="0.3">
      <c r="B383" s="319">
        <v>2024</v>
      </c>
      <c r="C383" s="310" t="s">
        <v>111</v>
      </c>
      <c r="D383" s="312">
        <v>10</v>
      </c>
      <c r="E383" s="312"/>
      <c r="F383" s="312"/>
      <c r="G383" s="310" t="s">
        <v>652</v>
      </c>
      <c r="H383" s="320">
        <v>5</v>
      </c>
    </row>
    <row r="384" spans="2:8" s="311" customFormat="1" ht="19.75" customHeight="1" x14ac:dyDescent="0.3">
      <c r="B384" s="319">
        <v>2024</v>
      </c>
      <c r="C384" s="310" t="s">
        <v>112</v>
      </c>
      <c r="D384" s="312">
        <v>2</v>
      </c>
      <c r="E384" s="312"/>
      <c r="F384" s="312"/>
      <c r="G384" s="310" t="s">
        <v>652</v>
      </c>
      <c r="H384" s="320">
        <v>1</v>
      </c>
    </row>
    <row r="385" spans="2:8" s="311" customFormat="1" ht="19.75" customHeight="1" x14ac:dyDescent="0.3">
      <c r="B385" s="319">
        <v>2024</v>
      </c>
      <c r="C385" s="310" t="s">
        <v>113</v>
      </c>
      <c r="D385" s="312">
        <v>2</v>
      </c>
      <c r="E385" s="312"/>
      <c r="F385" s="312"/>
      <c r="G385" s="310" t="s">
        <v>652</v>
      </c>
      <c r="H385" s="320">
        <v>1</v>
      </c>
    </row>
    <row r="386" spans="2:8" s="311" customFormat="1" ht="19.75" customHeight="1" x14ac:dyDescent="0.3">
      <c r="B386" s="319">
        <v>2024</v>
      </c>
      <c r="C386" s="310" t="s">
        <v>124</v>
      </c>
      <c r="D386" s="312">
        <v>6</v>
      </c>
      <c r="E386" s="312"/>
      <c r="F386" s="312"/>
      <c r="G386" s="310" t="s">
        <v>652</v>
      </c>
      <c r="H386" s="320">
        <v>3</v>
      </c>
    </row>
    <row r="387" spans="2:8" s="311" customFormat="1" ht="19.75" customHeight="1" x14ac:dyDescent="0.3">
      <c r="B387" s="319">
        <v>2024</v>
      </c>
      <c r="C387" s="310" t="s">
        <v>125</v>
      </c>
      <c r="D387" s="312">
        <v>2</v>
      </c>
      <c r="E387" s="312"/>
      <c r="F387" s="312">
        <v>4</v>
      </c>
      <c r="G387" s="310" t="s">
        <v>652</v>
      </c>
      <c r="H387" s="320">
        <v>3</v>
      </c>
    </row>
    <row r="388" spans="2:8" s="311" customFormat="1" ht="19.75" customHeight="1" x14ac:dyDescent="0.3">
      <c r="B388" s="319">
        <v>2024</v>
      </c>
      <c r="C388" s="310" t="s">
        <v>126</v>
      </c>
      <c r="D388" s="312"/>
      <c r="E388" s="312">
        <v>4</v>
      </c>
      <c r="F388" s="312"/>
      <c r="G388" s="310" t="s">
        <v>652</v>
      </c>
      <c r="H388" s="320">
        <v>2</v>
      </c>
    </row>
    <row r="389" spans="2:8" s="311" customFormat="1" ht="19.75" customHeight="1" x14ac:dyDescent="0.3">
      <c r="B389" s="319">
        <v>2024</v>
      </c>
      <c r="C389" s="310" t="s">
        <v>127</v>
      </c>
      <c r="D389" s="312"/>
      <c r="E389" s="312">
        <v>286</v>
      </c>
      <c r="F389" s="312"/>
      <c r="G389" s="310" t="s">
        <v>652</v>
      </c>
      <c r="H389" s="320">
        <v>140</v>
      </c>
    </row>
    <row r="390" spans="2:8" s="311" customFormat="1" ht="19.75" customHeight="1" x14ac:dyDescent="0.3">
      <c r="B390" s="319">
        <v>2024</v>
      </c>
      <c r="C390" s="310" t="s">
        <v>128</v>
      </c>
      <c r="D390" s="312"/>
      <c r="E390" s="312">
        <v>42</v>
      </c>
      <c r="F390" s="312"/>
      <c r="G390" s="310" t="s">
        <v>652</v>
      </c>
      <c r="H390" s="320">
        <v>21</v>
      </c>
    </row>
    <row r="391" spans="2:8" s="311" customFormat="1" ht="19.75" customHeight="1" x14ac:dyDescent="0.3">
      <c r="B391" s="319">
        <v>2024</v>
      </c>
      <c r="C391" s="310" t="s">
        <v>129</v>
      </c>
      <c r="D391" s="312"/>
      <c r="E391" s="312">
        <v>442</v>
      </c>
      <c r="F391" s="312"/>
      <c r="G391" s="310" t="s">
        <v>652</v>
      </c>
      <c r="H391" s="320">
        <v>220</v>
      </c>
    </row>
    <row r="392" spans="2:8" s="311" customFormat="1" ht="19.75" customHeight="1" x14ac:dyDescent="0.3">
      <c r="B392" s="319">
        <v>2024</v>
      </c>
      <c r="C392" s="310" t="s">
        <v>130</v>
      </c>
      <c r="D392" s="312">
        <v>2</v>
      </c>
      <c r="E392" s="312">
        <v>372</v>
      </c>
      <c r="F392" s="312"/>
      <c r="G392" s="310" t="s">
        <v>652</v>
      </c>
      <c r="H392" s="320">
        <v>187</v>
      </c>
    </row>
    <row r="393" spans="2:8" s="311" customFormat="1" ht="19.75" customHeight="1" x14ac:dyDescent="0.3">
      <c r="B393" s="319">
        <v>2024</v>
      </c>
      <c r="C393" s="310" t="s">
        <v>131</v>
      </c>
      <c r="D393" s="312"/>
      <c r="E393" s="312">
        <v>196</v>
      </c>
      <c r="F393" s="312"/>
      <c r="G393" s="310" t="s">
        <v>652</v>
      </c>
      <c r="H393" s="320">
        <v>96</v>
      </c>
    </row>
    <row r="394" spans="2:8" s="311" customFormat="1" ht="19.75" customHeight="1" x14ac:dyDescent="0.3">
      <c r="B394" s="319">
        <v>2024</v>
      </c>
      <c r="C394" s="310" t="s">
        <v>132</v>
      </c>
      <c r="D394" s="312"/>
      <c r="E394" s="312">
        <v>120</v>
      </c>
      <c r="F394" s="312"/>
      <c r="G394" s="310" t="s">
        <v>652</v>
      </c>
      <c r="H394" s="320">
        <v>60</v>
      </c>
    </row>
    <row r="395" spans="2:8" s="311" customFormat="1" ht="19.75" customHeight="1" x14ac:dyDescent="0.3">
      <c r="B395" s="319">
        <v>2024</v>
      </c>
      <c r="C395" s="310" t="s">
        <v>133</v>
      </c>
      <c r="D395" s="312"/>
      <c r="E395" s="312">
        <v>118</v>
      </c>
      <c r="F395" s="312"/>
      <c r="G395" s="310" t="s">
        <v>652</v>
      </c>
      <c r="H395" s="320">
        <v>47</v>
      </c>
    </row>
    <row r="396" spans="2:8" s="311" customFormat="1" ht="19.75" customHeight="1" x14ac:dyDescent="0.3">
      <c r="B396" s="319">
        <v>2024</v>
      </c>
      <c r="C396" s="310" t="s">
        <v>134</v>
      </c>
      <c r="D396" s="312"/>
      <c r="E396" s="312">
        <v>16</v>
      </c>
      <c r="F396" s="312"/>
      <c r="G396" s="310" t="s">
        <v>652</v>
      </c>
      <c r="H396" s="320">
        <v>8</v>
      </c>
    </row>
    <row r="397" spans="2:8" s="311" customFormat="1" ht="19.75" customHeight="1" x14ac:dyDescent="0.3">
      <c r="B397" s="319">
        <v>2024</v>
      </c>
      <c r="C397" s="310" t="s">
        <v>135</v>
      </c>
      <c r="D397" s="312"/>
      <c r="E397" s="312">
        <v>10</v>
      </c>
      <c r="F397" s="312"/>
      <c r="G397" s="310" t="s">
        <v>652</v>
      </c>
      <c r="H397" s="320">
        <v>5</v>
      </c>
    </row>
    <row r="398" spans="2:8" s="311" customFormat="1" ht="19.75" customHeight="1" x14ac:dyDescent="0.3">
      <c r="B398" s="319">
        <v>2024</v>
      </c>
      <c r="C398" s="310" t="s">
        <v>136</v>
      </c>
      <c r="D398" s="312"/>
      <c r="E398" s="312">
        <v>36</v>
      </c>
      <c r="F398" s="312"/>
      <c r="G398" s="310" t="s">
        <v>652</v>
      </c>
      <c r="H398" s="320">
        <v>18</v>
      </c>
    </row>
    <row r="399" spans="2:8" s="311" customFormat="1" ht="19.75" customHeight="1" x14ac:dyDescent="0.3">
      <c r="B399" s="319">
        <v>2024</v>
      </c>
      <c r="C399" s="310" t="s">
        <v>138</v>
      </c>
      <c r="D399" s="312"/>
      <c r="E399" s="312">
        <v>78</v>
      </c>
      <c r="F399" s="312"/>
      <c r="G399" s="310" t="s">
        <v>652</v>
      </c>
      <c r="H399" s="320">
        <v>39</v>
      </c>
    </row>
    <row r="400" spans="2:8" s="311" customFormat="1" ht="19.75" customHeight="1" x14ac:dyDescent="0.3">
      <c r="B400" s="319">
        <v>2024</v>
      </c>
      <c r="C400" s="310" t="s">
        <v>139</v>
      </c>
      <c r="D400" s="312"/>
      <c r="E400" s="312">
        <v>8</v>
      </c>
      <c r="F400" s="312"/>
      <c r="G400" s="310" t="s">
        <v>652</v>
      </c>
      <c r="H400" s="320">
        <v>4</v>
      </c>
    </row>
    <row r="401" spans="2:8" s="311" customFormat="1" ht="19.75" customHeight="1" x14ac:dyDescent="0.3">
      <c r="B401" s="319">
        <v>2024</v>
      </c>
      <c r="C401" s="310" t="s">
        <v>140</v>
      </c>
      <c r="D401" s="312"/>
      <c r="E401" s="312">
        <v>242</v>
      </c>
      <c r="F401" s="312"/>
      <c r="G401" s="310" t="s">
        <v>652</v>
      </c>
      <c r="H401" s="320">
        <v>117</v>
      </c>
    </row>
    <row r="402" spans="2:8" s="311" customFormat="1" ht="19.75" customHeight="1" x14ac:dyDescent="0.3">
      <c r="B402" s="319">
        <v>2024</v>
      </c>
      <c r="C402" s="310" t="s">
        <v>141</v>
      </c>
      <c r="D402" s="312"/>
      <c r="E402" s="312">
        <v>96</v>
      </c>
      <c r="F402" s="312"/>
      <c r="G402" s="310" t="s">
        <v>652</v>
      </c>
      <c r="H402" s="320">
        <v>47</v>
      </c>
    </row>
    <row r="403" spans="2:8" s="311" customFormat="1" ht="19.75" customHeight="1" x14ac:dyDescent="0.3">
      <c r="B403" s="319">
        <v>2024</v>
      </c>
      <c r="C403" s="310" t="s">
        <v>143</v>
      </c>
      <c r="D403" s="312"/>
      <c r="E403" s="312">
        <v>18</v>
      </c>
      <c r="F403" s="312"/>
      <c r="G403" s="310" t="s">
        <v>652</v>
      </c>
      <c r="H403" s="320">
        <v>8</v>
      </c>
    </row>
    <row r="404" spans="2:8" s="311" customFormat="1" ht="19.75" customHeight="1" x14ac:dyDescent="0.3">
      <c r="B404" s="319">
        <v>2024</v>
      </c>
      <c r="C404" s="310" t="s">
        <v>145</v>
      </c>
      <c r="D404" s="312"/>
      <c r="E404" s="312">
        <v>64</v>
      </c>
      <c r="F404" s="312"/>
      <c r="G404" s="310" t="s">
        <v>652</v>
      </c>
      <c r="H404" s="320">
        <v>30</v>
      </c>
    </row>
    <row r="405" spans="2:8" s="311" customFormat="1" ht="19.75" customHeight="1" x14ac:dyDescent="0.3">
      <c r="B405" s="319">
        <v>2024</v>
      </c>
      <c r="C405" s="310" t="s">
        <v>146</v>
      </c>
      <c r="D405" s="312"/>
      <c r="E405" s="312">
        <v>50</v>
      </c>
      <c r="F405" s="312"/>
      <c r="G405" s="310" t="s">
        <v>652</v>
      </c>
      <c r="H405" s="320">
        <v>25</v>
      </c>
    </row>
    <row r="406" spans="2:8" s="311" customFormat="1" ht="19.75" customHeight="1" x14ac:dyDescent="0.3">
      <c r="B406" s="324">
        <v>2024</v>
      </c>
      <c r="C406" s="325" t="s">
        <v>149</v>
      </c>
      <c r="D406" s="326"/>
      <c r="E406" s="326">
        <v>2</v>
      </c>
      <c r="F406" s="326"/>
      <c r="G406" s="325" t="s">
        <v>652</v>
      </c>
      <c r="H406" s="327">
        <v>1</v>
      </c>
    </row>
    <row r="407" spans="2:8" s="311" customFormat="1" ht="19.75" customHeight="1" x14ac:dyDescent="0.3">
      <c r="B407" s="313"/>
      <c r="C407" s="314" t="s">
        <v>653</v>
      </c>
      <c r="D407" s="315">
        <v>11750</v>
      </c>
      <c r="E407" s="315">
        <v>31948</v>
      </c>
      <c r="F407" s="315">
        <v>1372</v>
      </c>
      <c r="G407" s="313"/>
      <c r="H407" s="316">
        <v>21832</v>
      </c>
    </row>
    <row r="408" spans="2:8" s="311" customFormat="1" ht="28.75" customHeight="1" x14ac:dyDescent="0.3"/>
  </sheetData>
  <pageMargins left="0.7" right="0.7" top="0.75" bottom="0.75" header="0.3" footer="0.3"/>
  <pageSetup paperSize="9" orientation="portrait"/>
  <headerFooter alignWithMargins="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78"/>
  <sheetViews>
    <sheetView showGridLines="0" zoomScaleNormal="100" workbookViewId="0">
      <pane xSplit="2" ySplit="6" topLeftCell="C7" activePane="bottomRight" state="frozen"/>
      <selection pane="topRight" activeCell="C1" sqref="C1"/>
      <selection pane="bottomLeft" activeCell="A3" sqref="A3"/>
      <selection pane="bottomRight"/>
    </sheetView>
  </sheetViews>
  <sheetFormatPr defaultColWidth="9.1796875" defaultRowHeight="13" x14ac:dyDescent="0.3"/>
  <cols>
    <col min="1" max="1" width="4.6328125" style="1" customWidth="1"/>
    <col min="2" max="2" width="10.26953125" style="1" customWidth="1"/>
    <col min="3" max="3" width="13.54296875" style="1" customWidth="1"/>
    <col min="4" max="14" width="15" style="1" customWidth="1"/>
    <col min="15" max="15" width="3.1796875" style="1" customWidth="1"/>
    <col min="16" max="19" width="15" style="1" customWidth="1"/>
    <col min="20" max="21" width="15.453125" style="1" customWidth="1"/>
    <col min="22" max="29" width="15" style="1" customWidth="1"/>
    <col min="30" max="16384" width="9.1796875" style="1"/>
  </cols>
  <sheetData>
    <row r="2" spans="2:24" ht="15.5" x14ac:dyDescent="0.35">
      <c r="B2" s="370" t="s">
        <v>709</v>
      </c>
    </row>
    <row r="4" spans="2:24" x14ac:dyDescent="0.3">
      <c r="F4" s="112" t="s">
        <v>447</v>
      </c>
      <c r="G4" s="394" t="s">
        <v>426</v>
      </c>
      <c r="H4" s="395"/>
      <c r="I4" s="396"/>
      <c r="J4" s="394" t="s">
        <v>427</v>
      </c>
      <c r="K4" s="395"/>
      <c r="L4" s="396"/>
      <c r="P4" s="19" t="s">
        <v>690</v>
      </c>
    </row>
    <row r="5" spans="2:24" ht="39.5" thickBot="1" x14ac:dyDescent="0.35">
      <c r="B5" s="1" t="s">
        <v>693</v>
      </c>
      <c r="D5" s="21" t="s">
        <v>451</v>
      </c>
      <c r="E5" s="34" t="s">
        <v>428</v>
      </c>
      <c r="F5" s="21" t="s">
        <v>450</v>
      </c>
      <c r="G5" s="34" t="s">
        <v>429</v>
      </c>
      <c r="H5" s="34" t="s">
        <v>430</v>
      </c>
      <c r="I5" s="34" t="s">
        <v>431</v>
      </c>
      <c r="J5" s="34" t="s">
        <v>432</v>
      </c>
      <c r="K5" s="34" t="s">
        <v>433</v>
      </c>
      <c r="L5" s="34" t="s">
        <v>434</v>
      </c>
      <c r="M5" s="34" t="s">
        <v>435</v>
      </c>
      <c r="N5" s="34" t="s">
        <v>436</v>
      </c>
      <c r="O5" s="34"/>
      <c r="P5" s="21" t="s">
        <v>437</v>
      </c>
      <c r="Q5" s="21" t="s">
        <v>438</v>
      </c>
      <c r="R5" s="21" t="s">
        <v>439</v>
      </c>
      <c r="S5" s="21" t="s">
        <v>440</v>
      </c>
      <c r="T5" s="21" t="s">
        <v>441</v>
      </c>
      <c r="U5" s="21" t="s">
        <v>443</v>
      </c>
      <c r="V5" s="21" t="s">
        <v>454</v>
      </c>
      <c r="W5" s="111"/>
      <c r="X5" s="111"/>
    </row>
    <row r="6" spans="2:24" ht="52" x14ac:dyDescent="0.3">
      <c r="B6" s="88" t="s">
        <v>0</v>
      </c>
      <c r="C6" s="87" t="s">
        <v>1</v>
      </c>
      <c r="D6" s="87" t="s">
        <v>394</v>
      </c>
      <c r="E6" s="87" t="s">
        <v>395</v>
      </c>
      <c r="F6" s="21" t="s">
        <v>396</v>
      </c>
      <c r="G6" s="158" t="s">
        <v>397</v>
      </c>
      <c r="H6" s="159" t="s">
        <v>398</v>
      </c>
      <c r="I6" s="38" t="s">
        <v>399</v>
      </c>
      <c r="J6" s="158" t="s">
        <v>400</v>
      </c>
      <c r="K6" s="159" t="s">
        <v>401</v>
      </c>
      <c r="L6" s="38" t="s">
        <v>402</v>
      </c>
      <c r="M6" s="87" t="s">
        <v>404</v>
      </c>
      <c r="N6" s="87" t="s">
        <v>403</v>
      </c>
      <c r="O6" s="37" t="s">
        <v>452</v>
      </c>
      <c r="P6" s="38" t="s">
        <v>405</v>
      </c>
      <c r="Q6" s="38" t="s">
        <v>406</v>
      </c>
      <c r="R6" s="38" t="s">
        <v>407</v>
      </c>
      <c r="S6" s="38" t="s">
        <v>408</v>
      </c>
      <c r="T6" s="106" t="s">
        <v>442</v>
      </c>
      <c r="U6" s="107" t="s">
        <v>410</v>
      </c>
      <c r="V6" s="108" t="s">
        <v>411</v>
      </c>
    </row>
    <row r="7" spans="2:24" x14ac:dyDescent="0.3">
      <c r="B7" s="1" t="s">
        <v>4</v>
      </c>
      <c r="C7" s="34" t="s">
        <v>5</v>
      </c>
      <c r="D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7" s="91">
        <f>SUMIFS(Tabel_VAS2022[aantal_VAS],Tabel_VAS2022[Zaakcode],Tabel_prc_2022[[#This Row],[Zaakcode]],Tabel_VAS2022[Adviesofprocedure],"prc",Tabel_VAS2022[code_punten_forfait],10)</f>
        <v>0</v>
      </c>
      <c r="G7" s="92">
        <f>SUMIFS(Tabel_VAS2022[aantal_VAS],Tabel_VAS2022[Zaakcode],Tabel_prc_2022[[#This Row],[Zaakcode]],Tabel_VAS2022[Adviesofprocedure],"prc",Tabel_VAS2022[code_punten_forfait],11)</f>
        <v>0</v>
      </c>
      <c r="H7" s="92">
        <f>SUMIFS(Tabel_VAS2022[aantal_VAS],Tabel_VAS2022[Zaakcode],Tabel_prc_2022[[#This Row],[Zaakcode]],Tabel_VAS2022[Adviesofprocedure],"prc",Tabel_VAS2022[code_punten_forfait],13)</f>
        <v>0</v>
      </c>
      <c r="I7" s="92">
        <f>SUMIFS(Tabel_VAS2022[aantal_VAS],Tabel_VAS2022[Zaakcode],Tabel_prc_2022[[#This Row],[Zaakcode]],Tabel_VAS2022[Adviesofprocedure],"prc",Tabel_VAS2022[code_punten_forfait],14)</f>
        <v>0</v>
      </c>
      <c r="J7" s="92">
        <f>SUMIFS(Tabel_VAS2022[aantal_VAS],Tabel_VAS2022[Zaakcode],Tabel_prc_2022[[#This Row],[Zaakcode]],Tabel_VAS2022[Adviesofprocedure],"prc",Tabel_VAS2022[code_punten_forfait],12)</f>
        <v>0</v>
      </c>
      <c r="K7" s="92">
        <f>SUMIFS(Tabel_VAS2022[aantal_VAS],Tabel_VAS2022[Zaakcode],Tabel_prc_2022[[#This Row],[Zaakcode]],Tabel_VAS2022[Adviesofprocedure],"prc",Tabel_VAS2022[code_punten_forfait],15)</f>
        <v>0</v>
      </c>
      <c r="L7" s="92">
        <f>SUMIFS(Tabel_VAS2022[aantal_VAS],Tabel_VAS2022[Zaakcode],Tabel_prc_2022[[#This Row],[Zaakcode]],Tabel_VAS2022[Adviesofprocedure],"prc",Tabel_VAS2022[code_punten_forfait],16)</f>
        <v>0</v>
      </c>
      <c r="M7" s="35" t="str">
        <f>IFERROR(INDEX(Tabel_forfaits[forfait vanaf 2022],MATCH(Tabel_prc_2022[[#This Row],[Zaakcode]],Tabel_forfaits[Zaakcode],0)), "n.v.t.")</f>
        <v>n.v.t.</v>
      </c>
      <c r="N7" s="35" t="str">
        <f>IFERROR(INDEX(Tabel_forfaits[forfait VdM II voor berekening],MATCH(Tabel_prc_2022[[#This Row],[Zaakcode]],Tabel_forfaits[Zaakcode],0)), "n.v.t.")</f>
        <v>n.v.t.</v>
      </c>
      <c r="O7" s="36"/>
      <c r="P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7" s="35">
        <f>IF(Tabel_prc_2022[[#This Row],[procedure - forfait VdM II]]="n.v.t.",0,  Tabel_prc_2022[[#This Row],[procedure - aantal 0 punten]] * (Tabel_prc_2022[[#This Row],[procedure - forfait VdM II]] - Tabel_prc_2022[[#This Row],[procedure - forfait VdM I]]))</f>
        <v>0</v>
      </c>
      <c r="T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7" s="109">
        <f>Tabel_prc_2022[[#This Row],[procedure - totaal extra punten toev. VdM II t.o.v. huidig]] * tarief_huidig</f>
        <v>0</v>
      </c>
    </row>
    <row r="8" spans="2:24" x14ac:dyDescent="0.3">
      <c r="B8" s="1" t="s">
        <v>6</v>
      </c>
      <c r="C8" s="34" t="s">
        <v>5</v>
      </c>
      <c r="D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8" s="91">
        <f>SUMIFS(Tabel_VAS2022[aantal_VAS],Tabel_VAS2022[Zaakcode],Tabel_prc_2022[[#This Row],[Zaakcode]],Tabel_VAS2022[Adviesofprocedure],"prc",Tabel_VAS2022[code_punten_forfait],10)</f>
        <v>0</v>
      </c>
      <c r="G8" s="92">
        <f>SUMIFS(Tabel_VAS2022[aantal_VAS],Tabel_VAS2022[Zaakcode],Tabel_prc_2022[[#This Row],[Zaakcode]],Tabel_VAS2022[Adviesofprocedure],"prc",Tabel_VAS2022[code_punten_forfait],11)</f>
        <v>0</v>
      </c>
      <c r="H8" s="92">
        <f>SUMIFS(Tabel_VAS2022[aantal_VAS],Tabel_VAS2022[Zaakcode],Tabel_prc_2022[[#This Row],[Zaakcode]],Tabel_VAS2022[Adviesofprocedure],"prc",Tabel_VAS2022[code_punten_forfait],13)</f>
        <v>0</v>
      </c>
      <c r="I8" s="92">
        <f>SUMIFS(Tabel_VAS2022[aantal_VAS],Tabel_VAS2022[Zaakcode],Tabel_prc_2022[[#This Row],[Zaakcode]],Tabel_VAS2022[Adviesofprocedure],"prc",Tabel_VAS2022[code_punten_forfait],14)</f>
        <v>0</v>
      </c>
      <c r="J8" s="92">
        <f>SUMIFS(Tabel_VAS2022[aantal_VAS],Tabel_VAS2022[Zaakcode],Tabel_prc_2022[[#This Row],[Zaakcode]],Tabel_VAS2022[Adviesofprocedure],"prc",Tabel_VAS2022[code_punten_forfait],12)</f>
        <v>0</v>
      </c>
      <c r="K8" s="92">
        <f>SUMIFS(Tabel_VAS2022[aantal_VAS],Tabel_VAS2022[Zaakcode],Tabel_prc_2022[[#This Row],[Zaakcode]],Tabel_VAS2022[Adviesofprocedure],"prc",Tabel_VAS2022[code_punten_forfait],15)</f>
        <v>0</v>
      </c>
      <c r="L8" s="92">
        <f>SUMIFS(Tabel_VAS2022[aantal_VAS],Tabel_VAS2022[Zaakcode],Tabel_prc_2022[[#This Row],[Zaakcode]],Tabel_VAS2022[Adviesofprocedure],"prc",Tabel_VAS2022[code_punten_forfait],16)</f>
        <v>0</v>
      </c>
      <c r="M8" s="35" t="str">
        <f>IFERROR(INDEX(Tabel_forfaits[forfait vanaf 2022],MATCH(Tabel_prc_2022[[#This Row],[Zaakcode]],Tabel_forfaits[Zaakcode],0)), "n.v.t.")</f>
        <v>n.v.t.</v>
      </c>
      <c r="N8" s="35" t="str">
        <f>IFERROR(INDEX(Tabel_forfaits[forfait VdM II voor berekening],MATCH(Tabel_prc_2022[[#This Row],[Zaakcode]],Tabel_forfaits[Zaakcode],0)), "n.v.t.")</f>
        <v>n.v.t.</v>
      </c>
      <c r="O8" s="36"/>
      <c r="P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8" s="35">
        <f>IF(Tabel_prc_2022[[#This Row],[procedure - forfait VdM II]]="n.v.t.",0,  Tabel_prc_2022[[#This Row],[procedure - aantal 0 punten]] * (Tabel_prc_2022[[#This Row],[procedure - forfait VdM II]] - Tabel_prc_2022[[#This Row],[procedure - forfait VdM I]]))</f>
        <v>0</v>
      </c>
      <c r="T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8" s="109">
        <f>Tabel_prc_2022[[#This Row],[procedure - totaal extra punten toev. VdM II t.o.v. huidig]] * tarief_huidig</f>
        <v>0</v>
      </c>
    </row>
    <row r="9" spans="2:24" x14ac:dyDescent="0.3">
      <c r="B9" s="1" t="s">
        <v>7</v>
      </c>
      <c r="C9" s="34" t="s">
        <v>5</v>
      </c>
      <c r="D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349</v>
      </c>
      <c r="E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5326.1</v>
      </c>
      <c r="F9" s="91">
        <f>SUMIFS(Tabel_VAS2022[aantal_VAS],Tabel_VAS2022[Zaakcode],Tabel_prc_2022[[#This Row],[Zaakcode]],Tabel_VAS2022[Adviesofprocedure],"prc",Tabel_VAS2022[code_punten_forfait],10)</f>
        <v>0</v>
      </c>
      <c r="G9" s="92">
        <f>SUMIFS(Tabel_VAS2022[aantal_VAS],Tabel_VAS2022[Zaakcode],Tabel_prc_2022[[#This Row],[Zaakcode]],Tabel_VAS2022[Adviesofprocedure],"prc",Tabel_VAS2022[code_punten_forfait],11)</f>
        <v>144</v>
      </c>
      <c r="H9" s="92">
        <f>SUMIFS(Tabel_VAS2022[aantal_VAS],Tabel_VAS2022[Zaakcode],Tabel_prc_2022[[#This Row],[Zaakcode]],Tabel_VAS2022[Adviesofprocedure],"prc",Tabel_VAS2022[code_punten_forfait],13)</f>
        <v>11</v>
      </c>
      <c r="I9" s="92">
        <f>SUMIFS(Tabel_VAS2022[aantal_VAS],Tabel_VAS2022[Zaakcode],Tabel_prc_2022[[#This Row],[Zaakcode]],Tabel_VAS2022[Adviesofprocedure],"prc",Tabel_VAS2022[code_punten_forfait],14)</f>
        <v>2</v>
      </c>
      <c r="J9" s="92">
        <f>SUMIFS(Tabel_VAS2022[aantal_VAS],Tabel_VAS2022[Zaakcode],Tabel_prc_2022[[#This Row],[Zaakcode]],Tabel_VAS2022[Adviesofprocedure],"prc",Tabel_VAS2022[code_punten_forfait],12)</f>
        <v>191</v>
      </c>
      <c r="K9" s="92">
        <f>SUMIFS(Tabel_VAS2022[aantal_VAS],Tabel_VAS2022[Zaakcode],Tabel_prc_2022[[#This Row],[Zaakcode]],Tabel_VAS2022[Adviesofprocedure],"prc",Tabel_VAS2022[code_punten_forfait],15)</f>
        <v>0</v>
      </c>
      <c r="L9" s="92">
        <f>SUMIFS(Tabel_VAS2022[aantal_VAS],Tabel_VAS2022[Zaakcode],Tabel_prc_2022[[#This Row],[Zaakcode]],Tabel_VAS2022[Adviesofprocedure],"prc",Tabel_VAS2022[code_punten_forfait],16)</f>
        <v>1</v>
      </c>
      <c r="M9" s="35">
        <f>IFERROR(INDEX(Tabel_forfaits[forfait vanaf 2022],MATCH(Tabel_prc_2022[[#This Row],[Zaakcode]],Tabel_forfaits[Zaakcode],0)), "n.v.t.")</f>
        <v>19</v>
      </c>
      <c r="N9" s="35">
        <f>IFERROR(INDEX(Tabel_forfaits[forfait VdM II voor berekening],MATCH(Tabel_prc_2022[[#This Row],[Zaakcode]],Tabel_forfaits[Zaakcode],0)), "n.v.t.")</f>
        <v>24</v>
      </c>
      <c r="O9" s="36"/>
      <c r="P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1675</v>
      </c>
      <c r="Q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55</v>
      </c>
      <c r="R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22.5</v>
      </c>
      <c r="S9" s="35">
        <f>IF(Tabel_prc_2022[[#This Row],[procedure - forfait VdM II]]="n.v.t.",0,  Tabel_prc_2022[[#This Row],[procedure - aantal 0 punten]] * (Tabel_prc_2022[[#This Row],[procedure - forfait VdM II]] - Tabel_prc_2022[[#This Row],[procedure - forfait VdM I]]))</f>
        <v>0</v>
      </c>
      <c r="T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349</v>
      </c>
      <c r="U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1752.5</v>
      </c>
      <c r="V9" s="109">
        <f>Tabel_prc_2022[[#This Row],[procedure - totaal extra punten toev. VdM II t.o.v. huidig]] * tarief_huidig</f>
        <v>268352.43874999997</v>
      </c>
    </row>
    <row r="10" spans="2:24" x14ac:dyDescent="0.3">
      <c r="B10" s="1" t="s">
        <v>8</v>
      </c>
      <c r="C10" s="34" t="s">
        <v>5</v>
      </c>
      <c r="D1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53</v>
      </c>
      <c r="E1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907.8</v>
      </c>
      <c r="F10" s="91">
        <f>SUMIFS(Tabel_VAS2022[aantal_VAS],Tabel_VAS2022[Zaakcode],Tabel_prc_2022[[#This Row],[Zaakcode]],Tabel_VAS2022[Adviesofprocedure],"prc",Tabel_VAS2022[code_punten_forfait],10)</f>
        <v>0</v>
      </c>
      <c r="G10" s="92">
        <f>SUMIFS(Tabel_VAS2022[aantal_VAS],Tabel_VAS2022[Zaakcode],Tabel_prc_2022[[#This Row],[Zaakcode]],Tabel_VAS2022[Adviesofprocedure],"prc",Tabel_VAS2022[code_punten_forfait],11)</f>
        <v>23</v>
      </c>
      <c r="H10" s="92">
        <f>SUMIFS(Tabel_VAS2022[aantal_VAS],Tabel_VAS2022[Zaakcode],Tabel_prc_2022[[#This Row],[Zaakcode]],Tabel_VAS2022[Adviesofprocedure],"prc",Tabel_VAS2022[code_punten_forfait],13)</f>
        <v>1</v>
      </c>
      <c r="I10" s="92">
        <f>SUMIFS(Tabel_VAS2022[aantal_VAS],Tabel_VAS2022[Zaakcode],Tabel_prc_2022[[#This Row],[Zaakcode]],Tabel_VAS2022[Adviesofprocedure],"prc",Tabel_VAS2022[code_punten_forfait],14)</f>
        <v>0</v>
      </c>
      <c r="J10" s="92">
        <f>SUMIFS(Tabel_VAS2022[aantal_VAS],Tabel_VAS2022[Zaakcode],Tabel_prc_2022[[#This Row],[Zaakcode]],Tabel_VAS2022[Adviesofprocedure],"prc",Tabel_VAS2022[code_punten_forfait],12)</f>
        <v>26</v>
      </c>
      <c r="K10" s="92">
        <f>SUMIFS(Tabel_VAS2022[aantal_VAS],Tabel_VAS2022[Zaakcode],Tabel_prc_2022[[#This Row],[Zaakcode]],Tabel_VAS2022[Adviesofprocedure],"prc",Tabel_VAS2022[code_punten_forfait],15)</f>
        <v>2</v>
      </c>
      <c r="L10" s="92">
        <f>SUMIFS(Tabel_VAS2022[aantal_VAS],Tabel_VAS2022[Zaakcode],Tabel_prc_2022[[#This Row],[Zaakcode]],Tabel_VAS2022[Adviesofprocedure],"prc",Tabel_VAS2022[code_punten_forfait],16)</f>
        <v>1</v>
      </c>
      <c r="M10" s="35">
        <f>IFERROR(INDEX(Tabel_forfaits[forfait vanaf 2022],MATCH(Tabel_prc_2022[[#This Row],[Zaakcode]],Tabel_forfaits[Zaakcode],0)), "n.v.t.")</f>
        <v>23</v>
      </c>
      <c r="N10" s="35">
        <f>IFERROR(INDEX(Tabel_forfaits[forfait VdM II voor berekening],MATCH(Tabel_prc_2022[[#This Row],[Zaakcode]],Tabel_forfaits[Zaakcode],0)), "n.v.t.")</f>
        <v>23</v>
      </c>
      <c r="O10" s="36"/>
      <c r="P1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0" s="35">
        <f>IF(Tabel_prc_2022[[#This Row],[procedure - forfait VdM II]]="n.v.t.",0,  Tabel_prc_2022[[#This Row],[procedure - aantal 0 punten]] * (Tabel_prc_2022[[#This Row],[procedure - forfait VdM II]] - Tabel_prc_2022[[#This Row],[procedure - forfait VdM I]]))</f>
        <v>0</v>
      </c>
      <c r="T1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53</v>
      </c>
      <c r="U1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0" s="109">
        <f>Tabel_prc_2022[[#This Row],[procedure - totaal extra punten toev. VdM II t.o.v. huidig]] * tarief_huidig</f>
        <v>0</v>
      </c>
    </row>
    <row r="11" spans="2:24" x14ac:dyDescent="0.3">
      <c r="B11" s="1" t="s">
        <v>9</v>
      </c>
      <c r="C11" s="34" t="s">
        <v>5</v>
      </c>
      <c r="D1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57</v>
      </c>
      <c r="E1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519</v>
      </c>
      <c r="F11" s="91">
        <f>SUMIFS(Tabel_VAS2022[aantal_VAS],Tabel_VAS2022[Zaakcode],Tabel_prc_2022[[#This Row],[Zaakcode]],Tabel_VAS2022[Adviesofprocedure],"prc",Tabel_VAS2022[code_punten_forfait],10)</f>
        <v>0</v>
      </c>
      <c r="G11" s="92">
        <f>SUMIFS(Tabel_VAS2022[aantal_VAS],Tabel_VAS2022[Zaakcode],Tabel_prc_2022[[#This Row],[Zaakcode]],Tabel_VAS2022[Adviesofprocedure],"prc",Tabel_VAS2022[code_punten_forfait],11)</f>
        <v>27</v>
      </c>
      <c r="H11" s="92">
        <f>SUMIFS(Tabel_VAS2022[aantal_VAS],Tabel_VAS2022[Zaakcode],Tabel_prc_2022[[#This Row],[Zaakcode]],Tabel_VAS2022[Adviesofprocedure],"prc",Tabel_VAS2022[code_punten_forfait],13)</f>
        <v>0</v>
      </c>
      <c r="I11" s="92">
        <f>SUMIFS(Tabel_VAS2022[aantal_VAS],Tabel_VAS2022[Zaakcode],Tabel_prc_2022[[#This Row],[Zaakcode]],Tabel_VAS2022[Adviesofprocedure],"prc",Tabel_VAS2022[code_punten_forfait],14)</f>
        <v>0</v>
      </c>
      <c r="J11" s="92">
        <f>SUMIFS(Tabel_VAS2022[aantal_VAS],Tabel_VAS2022[Zaakcode],Tabel_prc_2022[[#This Row],[Zaakcode]],Tabel_VAS2022[Adviesofprocedure],"prc",Tabel_VAS2022[code_punten_forfait],12)</f>
        <v>30</v>
      </c>
      <c r="K11" s="92">
        <f>SUMIFS(Tabel_VAS2022[aantal_VAS],Tabel_VAS2022[Zaakcode],Tabel_prc_2022[[#This Row],[Zaakcode]],Tabel_VAS2022[Adviesofprocedure],"prc",Tabel_VAS2022[code_punten_forfait],15)</f>
        <v>0</v>
      </c>
      <c r="L11" s="92">
        <f>SUMIFS(Tabel_VAS2022[aantal_VAS],Tabel_VAS2022[Zaakcode],Tabel_prc_2022[[#This Row],[Zaakcode]],Tabel_VAS2022[Adviesofprocedure],"prc",Tabel_VAS2022[code_punten_forfait],16)</f>
        <v>0</v>
      </c>
      <c r="M11" s="35">
        <f>IFERROR(INDEX(Tabel_forfaits[forfait vanaf 2022],MATCH(Tabel_prc_2022[[#This Row],[Zaakcode]],Tabel_forfaits[Zaakcode],0)), "n.v.t.")</f>
        <v>11</v>
      </c>
      <c r="N11" s="35">
        <f>IFERROR(INDEX(Tabel_forfaits[forfait VdM II voor berekening],MATCH(Tabel_prc_2022[[#This Row],[Zaakcode]],Tabel_forfaits[Zaakcode],0)), "n.v.t.")</f>
        <v>13</v>
      </c>
      <c r="O11" s="36"/>
      <c r="P1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114</v>
      </c>
      <c r="Q1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 s="35">
        <f>IF(Tabel_prc_2022[[#This Row],[procedure - forfait VdM II]]="n.v.t.",0,  Tabel_prc_2022[[#This Row],[procedure - aantal 0 punten]] * (Tabel_prc_2022[[#This Row],[procedure - forfait VdM II]] - Tabel_prc_2022[[#This Row],[procedure - forfait VdM I]]))</f>
        <v>0</v>
      </c>
      <c r="T1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57</v>
      </c>
      <c r="U1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114</v>
      </c>
      <c r="V11" s="109">
        <f>Tabel_prc_2022[[#This Row],[procedure - totaal extra punten toev. VdM II t.o.v. huidig]] * tarief_huidig</f>
        <v>17456.306999999997</v>
      </c>
    </row>
    <row r="12" spans="2:24" x14ac:dyDescent="0.3">
      <c r="B12" s="1" t="s">
        <v>10</v>
      </c>
      <c r="C12" s="34" t="s">
        <v>5</v>
      </c>
      <c r="D1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161</v>
      </c>
      <c r="E1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1875.5</v>
      </c>
      <c r="F12" s="91">
        <f>SUMIFS(Tabel_VAS2022[aantal_VAS],Tabel_VAS2022[Zaakcode],Tabel_prc_2022[[#This Row],[Zaakcode]],Tabel_VAS2022[Adviesofprocedure],"prc",Tabel_VAS2022[code_punten_forfait],10)</f>
        <v>0</v>
      </c>
      <c r="G12" s="92">
        <f>SUMIFS(Tabel_VAS2022[aantal_VAS],Tabel_VAS2022[Zaakcode],Tabel_prc_2022[[#This Row],[Zaakcode]],Tabel_VAS2022[Adviesofprocedure],"prc",Tabel_VAS2022[code_punten_forfait],11)</f>
        <v>76</v>
      </c>
      <c r="H12" s="92">
        <f>SUMIFS(Tabel_VAS2022[aantal_VAS],Tabel_VAS2022[Zaakcode],Tabel_prc_2022[[#This Row],[Zaakcode]],Tabel_VAS2022[Adviesofprocedure],"prc",Tabel_VAS2022[code_punten_forfait],13)</f>
        <v>6</v>
      </c>
      <c r="I12" s="92">
        <f>SUMIFS(Tabel_VAS2022[aantal_VAS],Tabel_VAS2022[Zaakcode],Tabel_prc_2022[[#This Row],[Zaakcode]],Tabel_VAS2022[Adviesofprocedure],"prc",Tabel_VAS2022[code_punten_forfait],14)</f>
        <v>2</v>
      </c>
      <c r="J12" s="92">
        <f>SUMIFS(Tabel_VAS2022[aantal_VAS],Tabel_VAS2022[Zaakcode],Tabel_prc_2022[[#This Row],[Zaakcode]],Tabel_VAS2022[Adviesofprocedure],"prc",Tabel_VAS2022[code_punten_forfait],12)</f>
        <v>75</v>
      </c>
      <c r="K12" s="92">
        <f>SUMIFS(Tabel_VAS2022[aantal_VAS],Tabel_VAS2022[Zaakcode],Tabel_prc_2022[[#This Row],[Zaakcode]],Tabel_VAS2022[Adviesofprocedure],"prc",Tabel_VAS2022[code_punten_forfait],15)</f>
        <v>2</v>
      </c>
      <c r="L12" s="92">
        <f>SUMIFS(Tabel_VAS2022[aantal_VAS],Tabel_VAS2022[Zaakcode],Tabel_prc_2022[[#This Row],[Zaakcode]],Tabel_VAS2022[Adviesofprocedure],"prc",Tabel_VAS2022[code_punten_forfait],16)</f>
        <v>0</v>
      </c>
      <c r="M12" s="35">
        <f>IFERROR(INDEX(Tabel_forfaits[forfait vanaf 2022],MATCH(Tabel_prc_2022[[#This Row],[Zaakcode]],Tabel_forfaits[Zaakcode],0)), "n.v.t.")</f>
        <v>16</v>
      </c>
      <c r="N12" s="35">
        <f>IFERROR(INDEX(Tabel_forfaits[forfait VdM II voor berekening],MATCH(Tabel_prc_2022[[#This Row],[Zaakcode]],Tabel_forfaits[Zaakcode],0)), "n.v.t.")</f>
        <v>24</v>
      </c>
      <c r="O12" s="36"/>
      <c r="P1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1208</v>
      </c>
      <c r="Q1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64</v>
      </c>
      <c r="R1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24</v>
      </c>
      <c r="S12" s="35">
        <f>IF(Tabel_prc_2022[[#This Row],[procedure - forfait VdM II]]="n.v.t.",0,  Tabel_prc_2022[[#This Row],[procedure - aantal 0 punten]] * (Tabel_prc_2022[[#This Row],[procedure - forfait VdM II]] - Tabel_prc_2022[[#This Row],[procedure - forfait VdM I]]))</f>
        <v>0</v>
      </c>
      <c r="T1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161</v>
      </c>
      <c r="U1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1296</v>
      </c>
      <c r="V12" s="109">
        <f>Tabel_prc_2022[[#This Row],[procedure - totaal extra punten toev. VdM II t.o.v. huidig]] * tarief_huidig</f>
        <v>198450.64799999999</v>
      </c>
    </row>
    <row r="13" spans="2:24" x14ac:dyDescent="0.3">
      <c r="B13" s="1" t="s">
        <v>11</v>
      </c>
      <c r="C13" s="34" t="s">
        <v>5</v>
      </c>
      <c r="D1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224</v>
      </c>
      <c r="E1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3077.7</v>
      </c>
      <c r="F13" s="91">
        <f>SUMIFS(Tabel_VAS2022[aantal_VAS],Tabel_VAS2022[Zaakcode],Tabel_prc_2022[[#This Row],[Zaakcode]],Tabel_VAS2022[Adviesofprocedure],"prc",Tabel_VAS2022[code_punten_forfait],10)</f>
        <v>0</v>
      </c>
      <c r="G13" s="92">
        <f>SUMIFS(Tabel_VAS2022[aantal_VAS],Tabel_VAS2022[Zaakcode],Tabel_prc_2022[[#This Row],[Zaakcode]],Tabel_VAS2022[Adviesofprocedure],"prc",Tabel_VAS2022[code_punten_forfait],11)</f>
        <v>128</v>
      </c>
      <c r="H13" s="92">
        <f>SUMIFS(Tabel_VAS2022[aantal_VAS],Tabel_VAS2022[Zaakcode],Tabel_prc_2022[[#This Row],[Zaakcode]],Tabel_VAS2022[Adviesofprocedure],"prc",Tabel_VAS2022[code_punten_forfait],13)</f>
        <v>10</v>
      </c>
      <c r="I13" s="92">
        <f>SUMIFS(Tabel_VAS2022[aantal_VAS],Tabel_VAS2022[Zaakcode],Tabel_prc_2022[[#This Row],[Zaakcode]],Tabel_VAS2022[Adviesofprocedure],"prc",Tabel_VAS2022[code_punten_forfait],14)</f>
        <v>0</v>
      </c>
      <c r="J13" s="92">
        <f>SUMIFS(Tabel_VAS2022[aantal_VAS],Tabel_VAS2022[Zaakcode],Tabel_prc_2022[[#This Row],[Zaakcode]],Tabel_VAS2022[Adviesofprocedure],"prc",Tabel_VAS2022[code_punten_forfait],12)</f>
        <v>78</v>
      </c>
      <c r="K13" s="92">
        <f>SUMIFS(Tabel_VAS2022[aantal_VAS],Tabel_VAS2022[Zaakcode],Tabel_prc_2022[[#This Row],[Zaakcode]],Tabel_VAS2022[Adviesofprocedure],"prc",Tabel_VAS2022[code_punten_forfait],15)</f>
        <v>8</v>
      </c>
      <c r="L13" s="92">
        <f>SUMIFS(Tabel_VAS2022[aantal_VAS],Tabel_VAS2022[Zaakcode],Tabel_prc_2022[[#This Row],[Zaakcode]],Tabel_VAS2022[Adviesofprocedure],"prc",Tabel_VAS2022[code_punten_forfait],16)</f>
        <v>0</v>
      </c>
      <c r="M13" s="35">
        <f>IFERROR(INDEX(Tabel_forfaits[forfait vanaf 2022],MATCH(Tabel_prc_2022[[#This Row],[Zaakcode]],Tabel_forfaits[Zaakcode],0)), "n.v.t.")</f>
        <v>20</v>
      </c>
      <c r="N13" s="35">
        <f>IFERROR(INDEX(Tabel_forfaits[forfait VdM II voor berekening],MATCH(Tabel_prc_2022[[#This Row],[Zaakcode]],Tabel_forfaits[Zaakcode],0)), "n.v.t.")</f>
        <v>20</v>
      </c>
      <c r="O13" s="36"/>
      <c r="P1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 s="35">
        <f>IF(Tabel_prc_2022[[#This Row],[procedure - forfait VdM II]]="n.v.t.",0,  Tabel_prc_2022[[#This Row],[procedure - aantal 0 punten]] * (Tabel_prc_2022[[#This Row],[procedure - forfait VdM II]] - Tabel_prc_2022[[#This Row],[procedure - forfait VdM I]]))</f>
        <v>0</v>
      </c>
      <c r="T1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224</v>
      </c>
      <c r="U1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 s="109">
        <f>Tabel_prc_2022[[#This Row],[procedure - totaal extra punten toev. VdM II t.o.v. huidig]] * tarief_huidig</f>
        <v>0</v>
      </c>
    </row>
    <row r="14" spans="2:24" x14ac:dyDescent="0.3">
      <c r="B14" s="1" t="s">
        <v>12</v>
      </c>
      <c r="C14" s="34" t="s">
        <v>5</v>
      </c>
      <c r="D1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736</v>
      </c>
      <c r="E1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9587.5</v>
      </c>
      <c r="F14" s="91">
        <f>SUMIFS(Tabel_VAS2022[aantal_VAS],Tabel_VAS2022[Zaakcode],Tabel_prc_2022[[#This Row],[Zaakcode]],Tabel_VAS2022[Adviesofprocedure],"prc",Tabel_VAS2022[code_punten_forfait],10)</f>
        <v>2</v>
      </c>
      <c r="G14" s="92">
        <f>SUMIFS(Tabel_VAS2022[aantal_VAS],Tabel_VAS2022[Zaakcode],Tabel_prc_2022[[#This Row],[Zaakcode]],Tabel_VAS2022[Adviesofprocedure],"prc",Tabel_VAS2022[code_punten_forfait],11)</f>
        <v>437</v>
      </c>
      <c r="H14" s="92">
        <f>SUMIFS(Tabel_VAS2022[aantal_VAS],Tabel_VAS2022[Zaakcode],Tabel_prc_2022[[#This Row],[Zaakcode]],Tabel_VAS2022[Adviesofprocedure],"prc",Tabel_VAS2022[code_punten_forfait],13)</f>
        <v>9</v>
      </c>
      <c r="I14" s="92">
        <f>SUMIFS(Tabel_VAS2022[aantal_VAS],Tabel_VAS2022[Zaakcode],Tabel_prc_2022[[#This Row],[Zaakcode]],Tabel_VAS2022[Adviesofprocedure],"prc",Tabel_VAS2022[code_punten_forfait],14)</f>
        <v>2</v>
      </c>
      <c r="J14" s="92">
        <f>SUMIFS(Tabel_VAS2022[aantal_VAS],Tabel_VAS2022[Zaakcode],Tabel_prc_2022[[#This Row],[Zaakcode]],Tabel_VAS2022[Adviesofprocedure],"prc",Tabel_VAS2022[code_punten_forfait],12)</f>
        <v>268</v>
      </c>
      <c r="K14" s="92">
        <f>SUMIFS(Tabel_VAS2022[aantal_VAS],Tabel_VAS2022[Zaakcode],Tabel_prc_2022[[#This Row],[Zaakcode]],Tabel_VAS2022[Adviesofprocedure],"prc",Tabel_VAS2022[code_punten_forfait],15)</f>
        <v>18</v>
      </c>
      <c r="L14" s="92">
        <f>SUMIFS(Tabel_VAS2022[aantal_VAS],Tabel_VAS2022[Zaakcode],Tabel_prc_2022[[#This Row],[Zaakcode]],Tabel_VAS2022[Adviesofprocedure],"prc",Tabel_VAS2022[code_punten_forfait],16)</f>
        <v>0</v>
      </c>
      <c r="M14" s="35">
        <f>IFERROR(INDEX(Tabel_forfaits[forfait vanaf 2022],MATCH(Tabel_prc_2022[[#This Row],[Zaakcode]],Tabel_forfaits[Zaakcode],0)), "n.v.t.")</f>
        <v>17</v>
      </c>
      <c r="N14" s="35">
        <f>IFERROR(INDEX(Tabel_forfaits[forfait VdM II voor berekening],MATCH(Tabel_prc_2022[[#This Row],[Zaakcode]],Tabel_forfaits[Zaakcode],0)), "n.v.t.")</f>
        <v>18</v>
      </c>
      <c r="O14" s="36"/>
      <c r="P1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705</v>
      </c>
      <c r="Q1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27</v>
      </c>
      <c r="R1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14" s="35">
        <f>IF(Tabel_prc_2022[[#This Row],[procedure - forfait VdM II]]="n.v.t.",0,  Tabel_prc_2022[[#This Row],[procedure - aantal 0 punten]] * (Tabel_prc_2022[[#This Row],[procedure - forfait VdM II]] - Tabel_prc_2022[[#This Row],[procedure - forfait VdM I]]))</f>
        <v>2</v>
      </c>
      <c r="T1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734</v>
      </c>
      <c r="U1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735</v>
      </c>
      <c r="V14" s="109">
        <f>Tabel_prc_2022[[#This Row],[procedure - totaal extra punten toev. VdM II t.o.v. huidig]] * tarief_huidig</f>
        <v>112547.24249999999</v>
      </c>
    </row>
    <row r="15" spans="2:24" x14ac:dyDescent="0.3">
      <c r="B15" s="1" t="s">
        <v>13</v>
      </c>
      <c r="C15" s="34" t="s">
        <v>5</v>
      </c>
      <c r="D1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53</v>
      </c>
      <c r="E1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586.29999999999995</v>
      </c>
      <c r="F15" s="91">
        <f>SUMIFS(Tabel_VAS2022[aantal_VAS],Tabel_VAS2022[Zaakcode],Tabel_prc_2022[[#This Row],[Zaakcode]],Tabel_VAS2022[Adviesofprocedure],"prc",Tabel_VAS2022[code_punten_forfait],10)</f>
        <v>0</v>
      </c>
      <c r="G15" s="92">
        <f>SUMIFS(Tabel_VAS2022[aantal_VAS],Tabel_VAS2022[Zaakcode],Tabel_prc_2022[[#This Row],[Zaakcode]],Tabel_VAS2022[Adviesofprocedure],"prc",Tabel_VAS2022[code_punten_forfait],11)</f>
        <v>47</v>
      </c>
      <c r="H15" s="92">
        <f>SUMIFS(Tabel_VAS2022[aantal_VAS],Tabel_VAS2022[Zaakcode],Tabel_prc_2022[[#This Row],[Zaakcode]],Tabel_VAS2022[Adviesofprocedure],"prc",Tabel_VAS2022[code_punten_forfait],13)</f>
        <v>4</v>
      </c>
      <c r="I15" s="92">
        <f>SUMIFS(Tabel_VAS2022[aantal_VAS],Tabel_VAS2022[Zaakcode],Tabel_prc_2022[[#This Row],[Zaakcode]],Tabel_VAS2022[Adviesofprocedure],"prc",Tabel_VAS2022[code_punten_forfait],14)</f>
        <v>0</v>
      </c>
      <c r="J15" s="92">
        <f>SUMIFS(Tabel_VAS2022[aantal_VAS],Tabel_VAS2022[Zaakcode],Tabel_prc_2022[[#This Row],[Zaakcode]],Tabel_VAS2022[Adviesofprocedure],"prc",Tabel_VAS2022[code_punten_forfait],12)</f>
        <v>2</v>
      </c>
      <c r="K15" s="92">
        <f>SUMIFS(Tabel_VAS2022[aantal_VAS],Tabel_VAS2022[Zaakcode],Tabel_prc_2022[[#This Row],[Zaakcode]],Tabel_VAS2022[Adviesofprocedure],"prc",Tabel_VAS2022[code_punten_forfait],15)</f>
        <v>0</v>
      </c>
      <c r="L15" s="92">
        <f>SUMIFS(Tabel_VAS2022[aantal_VAS],Tabel_VAS2022[Zaakcode],Tabel_prc_2022[[#This Row],[Zaakcode]],Tabel_VAS2022[Adviesofprocedure],"prc",Tabel_VAS2022[code_punten_forfait],16)</f>
        <v>0</v>
      </c>
      <c r="M15" s="35">
        <f>IFERROR(INDEX(Tabel_forfaits[forfait vanaf 2022],MATCH(Tabel_prc_2022[[#This Row],[Zaakcode]],Tabel_forfaits[Zaakcode],0)), "n.v.t.")</f>
        <v>31</v>
      </c>
      <c r="N15" s="35">
        <f>IFERROR(INDEX(Tabel_forfaits[forfait VdM II voor berekening],MATCH(Tabel_prc_2022[[#This Row],[Zaakcode]],Tabel_forfaits[Zaakcode],0)), "n.v.t.")</f>
        <v>31</v>
      </c>
      <c r="O15" s="36"/>
      <c r="P1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5" s="35">
        <f>IF(Tabel_prc_2022[[#This Row],[procedure - forfait VdM II]]="n.v.t.",0,  Tabel_prc_2022[[#This Row],[procedure - aantal 0 punten]] * (Tabel_prc_2022[[#This Row],[procedure - forfait VdM II]] - Tabel_prc_2022[[#This Row],[procedure - forfait VdM I]]))</f>
        <v>0</v>
      </c>
      <c r="T1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53</v>
      </c>
      <c r="U1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5" s="109">
        <f>Tabel_prc_2022[[#This Row],[procedure - totaal extra punten toev. VdM II t.o.v. huidig]] * tarief_huidig</f>
        <v>0</v>
      </c>
    </row>
    <row r="16" spans="2:24" x14ac:dyDescent="0.3">
      <c r="B16" s="1" t="s">
        <v>14</v>
      </c>
      <c r="C16" s="34" t="s">
        <v>5</v>
      </c>
      <c r="D1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3503</v>
      </c>
      <c r="E1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28394.6</v>
      </c>
      <c r="F16" s="91">
        <f>SUMIFS(Tabel_VAS2022[aantal_VAS],Tabel_VAS2022[Zaakcode],Tabel_prc_2022[[#This Row],[Zaakcode]],Tabel_VAS2022[Adviesofprocedure],"prc",Tabel_VAS2022[code_punten_forfait],10)</f>
        <v>0</v>
      </c>
      <c r="G16" s="91">
        <f>SUMIFS(Tabel_VAS2022[aantal_VAS],Tabel_VAS2022[Zaakcode],Tabel_prc_2022[[#This Row],[Zaakcode]],Tabel_VAS2022[Adviesofprocedure],"prc",Tabel_VAS2022[code_punten_forfait],11)</f>
        <v>1705</v>
      </c>
      <c r="H16" s="92">
        <f>SUMIFS(Tabel_VAS2022[aantal_VAS],Tabel_VAS2022[Zaakcode],Tabel_prc_2022[[#This Row],[Zaakcode]],Tabel_VAS2022[Adviesofprocedure],"prc",Tabel_VAS2022[code_punten_forfait],13)</f>
        <v>79</v>
      </c>
      <c r="I16" s="92">
        <f>SUMIFS(Tabel_VAS2022[aantal_VAS],Tabel_VAS2022[Zaakcode],Tabel_prc_2022[[#This Row],[Zaakcode]],Tabel_VAS2022[Adviesofprocedure],"prc",Tabel_VAS2022[code_punten_forfait],14)</f>
        <v>7</v>
      </c>
      <c r="J16" s="91">
        <f>SUMIFS(Tabel_VAS2022[aantal_VAS],Tabel_VAS2022[Zaakcode],Tabel_prc_2022[[#This Row],[Zaakcode]],Tabel_VAS2022[Adviesofprocedure],"prc",Tabel_VAS2022[code_punten_forfait],12)</f>
        <v>1526</v>
      </c>
      <c r="K16" s="92">
        <f>SUMIFS(Tabel_VAS2022[aantal_VAS],Tabel_VAS2022[Zaakcode],Tabel_prc_2022[[#This Row],[Zaakcode]],Tabel_VAS2022[Adviesofprocedure],"prc",Tabel_VAS2022[code_punten_forfait],15)</f>
        <v>183</v>
      </c>
      <c r="L16" s="92">
        <f>SUMIFS(Tabel_VAS2022[aantal_VAS],Tabel_VAS2022[Zaakcode],Tabel_prc_2022[[#This Row],[Zaakcode]],Tabel_VAS2022[Adviesofprocedure],"prc",Tabel_VAS2022[code_punten_forfait],16)</f>
        <v>3</v>
      </c>
      <c r="M16" s="35">
        <f>IFERROR(INDEX(Tabel_forfaits[forfait vanaf 2022],MATCH(Tabel_prc_2022[[#This Row],[Zaakcode]],Tabel_forfaits[Zaakcode],0)), "n.v.t.")</f>
        <v>9</v>
      </c>
      <c r="N16" s="35">
        <f>IFERROR(INDEX(Tabel_forfaits[forfait VdM II voor berekening],MATCH(Tabel_prc_2022[[#This Row],[Zaakcode]],Tabel_forfaits[Zaakcode],0)), "n.v.t.")</f>
        <v>10</v>
      </c>
      <c r="O16" s="36"/>
      <c r="P1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3231</v>
      </c>
      <c r="Q1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262</v>
      </c>
      <c r="R1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16" s="35">
        <f>IF(Tabel_prc_2022[[#This Row],[procedure - forfait VdM II]]="n.v.t.",0,  Tabel_prc_2022[[#This Row],[procedure - aantal 0 punten]] * (Tabel_prc_2022[[#This Row],[procedure - forfait VdM II]] - Tabel_prc_2022[[#This Row],[procedure - forfait VdM I]]))</f>
        <v>0</v>
      </c>
      <c r="T1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3503</v>
      </c>
      <c r="U1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3508</v>
      </c>
      <c r="V16" s="109">
        <f>Tabel_prc_2022[[#This Row],[procedure - totaal extra punten toev. VdM II t.o.v. huidig]] * tarief_huidig</f>
        <v>537164.25399999996</v>
      </c>
    </row>
    <row r="17" spans="2:22" x14ac:dyDescent="0.3">
      <c r="B17" s="1" t="s">
        <v>15</v>
      </c>
      <c r="C17" s="34" t="s">
        <v>5</v>
      </c>
      <c r="D1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v>
      </c>
      <c r="E1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24</v>
      </c>
      <c r="F17" s="91">
        <f>SUMIFS(Tabel_VAS2022[aantal_VAS],Tabel_VAS2022[Zaakcode],Tabel_prc_2022[[#This Row],[Zaakcode]],Tabel_VAS2022[Adviesofprocedure],"prc",Tabel_VAS2022[code_punten_forfait],10)</f>
        <v>0</v>
      </c>
      <c r="G17" s="92">
        <f>SUMIFS(Tabel_VAS2022[aantal_VAS],Tabel_VAS2022[Zaakcode],Tabel_prc_2022[[#This Row],[Zaakcode]],Tabel_VAS2022[Adviesofprocedure],"prc",Tabel_VAS2022[code_punten_forfait],11)</f>
        <v>4</v>
      </c>
      <c r="H17" s="92">
        <f>SUMIFS(Tabel_VAS2022[aantal_VAS],Tabel_VAS2022[Zaakcode],Tabel_prc_2022[[#This Row],[Zaakcode]],Tabel_VAS2022[Adviesofprocedure],"prc",Tabel_VAS2022[code_punten_forfait],13)</f>
        <v>0</v>
      </c>
      <c r="I17" s="92">
        <f>SUMIFS(Tabel_VAS2022[aantal_VAS],Tabel_VAS2022[Zaakcode],Tabel_prc_2022[[#This Row],[Zaakcode]],Tabel_VAS2022[Adviesofprocedure],"prc",Tabel_VAS2022[code_punten_forfait],14)</f>
        <v>0</v>
      </c>
      <c r="J17" s="92">
        <f>SUMIFS(Tabel_VAS2022[aantal_VAS],Tabel_VAS2022[Zaakcode],Tabel_prc_2022[[#This Row],[Zaakcode]],Tabel_VAS2022[Adviesofprocedure],"prc",Tabel_VAS2022[code_punten_forfait],12)</f>
        <v>1</v>
      </c>
      <c r="K17" s="92">
        <f>SUMIFS(Tabel_VAS2022[aantal_VAS],Tabel_VAS2022[Zaakcode],Tabel_prc_2022[[#This Row],[Zaakcode]],Tabel_VAS2022[Adviesofprocedure],"prc",Tabel_VAS2022[code_punten_forfait],15)</f>
        <v>0</v>
      </c>
      <c r="L17" s="92">
        <f>SUMIFS(Tabel_VAS2022[aantal_VAS],Tabel_VAS2022[Zaakcode],Tabel_prc_2022[[#This Row],[Zaakcode]],Tabel_VAS2022[Adviesofprocedure],"prc",Tabel_VAS2022[code_punten_forfait],16)</f>
        <v>0</v>
      </c>
      <c r="M17" s="35">
        <f>IFERROR(INDEX(Tabel_forfaits[forfait vanaf 2022],MATCH(Tabel_prc_2022[[#This Row],[Zaakcode]],Tabel_forfaits[Zaakcode],0)), "n.v.t.")</f>
        <v>8</v>
      </c>
      <c r="N17" s="35">
        <f>IFERROR(INDEX(Tabel_forfaits[forfait VdM II voor berekening],MATCH(Tabel_prc_2022[[#This Row],[Zaakcode]],Tabel_forfaits[Zaakcode],0)), "n.v.t.")</f>
        <v>8</v>
      </c>
      <c r="O17" s="36"/>
      <c r="P1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7" s="35">
        <f>IF(Tabel_prc_2022[[#This Row],[procedure - forfait VdM II]]="n.v.t.",0,  Tabel_prc_2022[[#This Row],[procedure - aantal 0 punten]] * (Tabel_prc_2022[[#This Row],[procedure - forfait VdM II]] - Tabel_prc_2022[[#This Row],[procedure - forfait VdM I]]))</f>
        <v>0</v>
      </c>
      <c r="T1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v>
      </c>
      <c r="U1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7" s="109">
        <f>Tabel_prc_2022[[#This Row],[procedure - totaal extra punten toev. VdM II t.o.v. huidig]] * tarief_huidig</f>
        <v>0</v>
      </c>
    </row>
    <row r="18" spans="2:22" x14ac:dyDescent="0.3">
      <c r="B18" s="1" t="s">
        <v>16</v>
      </c>
      <c r="C18" s="34" t="s">
        <v>5</v>
      </c>
      <c r="D1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107</v>
      </c>
      <c r="E1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918</v>
      </c>
      <c r="F18" s="91">
        <f>SUMIFS(Tabel_VAS2022[aantal_VAS],Tabel_VAS2022[Zaakcode],Tabel_prc_2022[[#This Row],[Zaakcode]],Tabel_VAS2022[Adviesofprocedure],"prc",Tabel_VAS2022[code_punten_forfait],10)</f>
        <v>0</v>
      </c>
      <c r="G18" s="92">
        <f>SUMIFS(Tabel_VAS2022[aantal_VAS],Tabel_VAS2022[Zaakcode],Tabel_prc_2022[[#This Row],[Zaakcode]],Tabel_VAS2022[Adviesofprocedure],"prc",Tabel_VAS2022[code_punten_forfait],11)</f>
        <v>49</v>
      </c>
      <c r="H18" s="92">
        <f>SUMIFS(Tabel_VAS2022[aantal_VAS],Tabel_VAS2022[Zaakcode],Tabel_prc_2022[[#This Row],[Zaakcode]],Tabel_VAS2022[Adviesofprocedure],"prc",Tabel_VAS2022[code_punten_forfait],13)</f>
        <v>1</v>
      </c>
      <c r="I18" s="92">
        <f>SUMIFS(Tabel_VAS2022[aantal_VAS],Tabel_VAS2022[Zaakcode],Tabel_prc_2022[[#This Row],[Zaakcode]],Tabel_VAS2022[Adviesofprocedure],"prc",Tabel_VAS2022[code_punten_forfait],14)</f>
        <v>1</v>
      </c>
      <c r="J18" s="92">
        <f>SUMIFS(Tabel_VAS2022[aantal_VAS],Tabel_VAS2022[Zaakcode],Tabel_prc_2022[[#This Row],[Zaakcode]],Tabel_VAS2022[Adviesofprocedure],"prc",Tabel_VAS2022[code_punten_forfait],12)</f>
        <v>50</v>
      </c>
      <c r="K18" s="92">
        <f>SUMIFS(Tabel_VAS2022[aantal_VAS],Tabel_VAS2022[Zaakcode],Tabel_prc_2022[[#This Row],[Zaakcode]],Tabel_VAS2022[Adviesofprocedure],"prc",Tabel_VAS2022[code_punten_forfait],15)</f>
        <v>6</v>
      </c>
      <c r="L18" s="92">
        <f>SUMIFS(Tabel_VAS2022[aantal_VAS],Tabel_VAS2022[Zaakcode],Tabel_prc_2022[[#This Row],[Zaakcode]],Tabel_VAS2022[Adviesofprocedure],"prc",Tabel_VAS2022[code_punten_forfait],16)</f>
        <v>0</v>
      </c>
      <c r="M18" s="35">
        <f>IFERROR(INDEX(Tabel_forfaits[forfait vanaf 2022],MATCH(Tabel_prc_2022[[#This Row],[Zaakcode]],Tabel_forfaits[Zaakcode],0)), "n.v.t.")</f>
        <v>10</v>
      </c>
      <c r="N18" s="35">
        <f>IFERROR(INDEX(Tabel_forfaits[forfait VdM II voor berekening],MATCH(Tabel_prc_2022[[#This Row],[Zaakcode]],Tabel_forfaits[Zaakcode],0)), "n.v.t.")</f>
        <v>11</v>
      </c>
      <c r="O18" s="36"/>
      <c r="P1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99</v>
      </c>
      <c r="Q1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7</v>
      </c>
      <c r="R1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18" s="35">
        <f>IF(Tabel_prc_2022[[#This Row],[procedure - forfait VdM II]]="n.v.t.",0,  Tabel_prc_2022[[#This Row],[procedure - aantal 0 punten]] * (Tabel_prc_2022[[#This Row],[procedure - forfait VdM II]] - Tabel_prc_2022[[#This Row],[procedure - forfait VdM I]]))</f>
        <v>0</v>
      </c>
      <c r="T1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107</v>
      </c>
      <c r="U1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107.5</v>
      </c>
      <c r="V18" s="109">
        <f>Tabel_prc_2022[[#This Row],[procedure - totaal extra punten toev. VdM II t.o.v. huidig]] * tarief_huidig</f>
        <v>16460.991249999999</v>
      </c>
    </row>
    <row r="19" spans="2:22" x14ac:dyDescent="0.3">
      <c r="B19" s="1" t="s">
        <v>17</v>
      </c>
      <c r="C19" s="34" t="s">
        <v>5</v>
      </c>
      <c r="D1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5160</v>
      </c>
      <c r="E1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41076.200000000004</v>
      </c>
      <c r="F19" s="91">
        <f>SUMIFS(Tabel_VAS2022[aantal_VAS],Tabel_VAS2022[Zaakcode],Tabel_prc_2022[[#This Row],[Zaakcode]],Tabel_VAS2022[Adviesofprocedure],"prc",Tabel_VAS2022[code_punten_forfait],10)</f>
        <v>0</v>
      </c>
      <c r="G19" s="91">
        <f>SUMIFS(Tabel_VAS2022[aantal_VAS],Tabel_VAS2022[Zaakcode],Tabel_prc_2022[[#This Row],[Zaakcode]],Tabel_VAS2022[Adviesofprocedure],"prc",Tabel_VAS2022[code_punten_forfait],11)</f>
        <v>3191</v>
      </c>
      <c r="H19" s="92">
        <f>SUMIFS(Tabel_VAS2022[aantal_VAS],Tabel_VAS2022[Zaakcode],Tabel_prc_2022[[#This Row],[Zaakcode]],Tabel_VAS2022[Adviesofprocedure],"prc",Tabel_VAS2022[code_punten_forfait],13)</f>
        <v>56</v>
      </c>
      <c r="I19" s="92">
        <f>SUMIFS(Tabel_VAS2022[aantal_VAS],Tabel_VAS2022[Zaakcode],Tabel_prc_2022[[#This Row],[Zaakcode]],Tabel_VAS2022[Adviesofprocedure],"prc",Tabel_VAS2022[code_punten_forfait],14)</f>
        <v>11</v>
      </c>
      <c r="J19" s="91">
        <f>SUMIFS(Tabel_VAS2022[aantal_VAS],Tabel_VAS2022[Zaakcode],Tabel_prc_2022[[#This Row],[Zaakcode]],Tabel_VAS2022[Adviesofprocedure],"prc",Tabel_VAS2022[code_punten_forfait],12)</f>
        <v>1851</v>
      </c>
      <c r="K19" s="92">
        <f>SUMIFS(Tabel_VAS2022[aantal_VAS],Tabel_VAS2022[Zaakcode],Tabel_prc_2022[[#This Row],[Zaakcode]],Tabel_VAS2022[Adviesofprocedure],"prc",Tabel_VAS2022[code_punten_forfait],15)</f>
        <v>40</v>
      </c>
      <c r="L19" s="92">
        <f>SUMIFS(Tabel_VAS2022[aantal_VAS],Tabel_VAS2022[Zaakcode],Tabel_prc_2022[[#This Row],[Zaakcode]],Tabel_VAS2022[Adviesofprocedure],"prc",Tabel_VAS2022[code_punten_forfait],16)</f>
        <v>11</v>
      </c>
      <c r="M19" s="35">
        <f>IFERROR(INDEX(Tabel_forfaits[forfait vanaf 2022],MATCH(Tabel_prc_2022[[#This Row],[Zaakcode]],Tabel_forfaits[Zaakcode],0)), "n.v.t.")</f>
        <v>8</v>
      </c>
      <c r="N19" s="35">
        <f>IFERROR(INDEX(Tabel_forfaits[forfait VdM II voor berekening],MATCH(Tabel_prc_2022[[#This Row],[Zaakcode]],Tabel_forfaits[Zaakcode],0)), "n.v.t.")</f>
        <v>8</v>
      </c>
      <c r="O19" s="36"/>
      <c r="P1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9" s="35">
        <f>IF(Tabel_prc_2022[[#This Row],[procedure - forfait VdM II]]="n.v.t.",0,  Tabel_prc_2022[[#This Row],[procedure - aantal 0 punten]] * (Tabel_prc_2022[[#This Row],[procedure - forfait VdM II]] - Tabel_prc_2022[[#This Row],[procedure - forfait VdM I]]))</f>
        <v>0</v>
      </c>
      <c r="T1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5160</v>
      </c>
      <c r="U1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9" s="109">
        <f>Tabel_prc_2022[[#This Row],[procedure - totaal extra punten toev. VdM II t.o.v. huidig]] * tarief_huidig</f>
        <v>0</v>
      </c>
    </row>
    <row r="20" spans="2:22" x14ac:dyDescent="0.3">
      <c r="B20" s="1" t="s">
        <v>18</v>
      </c>
      <c r="C20" s="34" t="s">
        <v>5</v>
      </c>
      <c r="D2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158</v>
      </c>
      <c r="E2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1342</v>
      </c>
      <c r="F20" s="91">
        <f>SUMIFS(Tabel_VAS2022[aantal_VAS],Tabel_VAS2022[Zaakcode],Tabel_prc_2022[[#This Row],[Zaakcode]],Tabel_VAS2022[Adviesofprocedure],"prc",Tabel_VAS2022[code_punten_forfait],10)</f>
        <v>0</v>
      </c>
      <c r="G20" s="92">
        <f>SUMIFS(Tabel_VAS2022[aantal_VAS],Tabel_VAS2022[Zaakcode],Tabel_prc_2022[[#This Row],[Zaakcode]],Tabel_VAS2022[Adviesofprocedure],"prc",Tabel_VAS2022[code_punten_forfait],11)</f>
        <v>106</v>
      </c>
      <c r="H20" s="92">
        <f>SUMIFS(Tabel_VAS2022[aantal_VAS],Tabel_VAS2022[Zaakcode],Tabel_prc_2022[[#This Row],[Zaakcode]],Tabel_VAS2022[Adviesofprocedure],"prc",Tabel_VAS2022[code_punten_forfait],13)</f>
        <v>5</v>
      </c>
      <c r="I20" s="92">
        <f>SUMIFS(Tabel_VAS2022[aantal_VAS],Tabel_VAS2022[Zaakcode],Tabel_prc_2022[[#This Row],[Zaakcode]],Tabel_VAS2022[Adviesofprocedure],"prc",Tabel_VAS2022[code_punten_forfait],14)</f>
        <v>1</v>
      </c>
      <c r="J20" s="92">
        <f>SUMIFS(Tabel_VAS2022[aantal_VAS],Tabel_VAS2022[Zaakcode],Tabel_prc_2022[[#This Row],[Zaakcode]],Tabel_VAS2022[Adviesofprocedure],"prc",Tabel_VAS2022[code_punten_forfait],12)</f>
        <v>43</v>
      </c>
      <c r="K20" s="92">
        <f>SUMIFS(Tabel_VAS2022[aantal_VAS],Tabel_VAS2022[Zaakcode],Tabel_prc_2022[[#This Row],[Zaakcode]],Tabel_VAS2022[Adviesofprocedure],"prc",Tabel_VAS2022[code_punten_forfait],15)</f>
        <v>3</v>
      </c>
      <c r="L20" s="92">
        <f>SUMIFS(Tabel_VAS2022[aantal_VAS],Tabel_VAS2022[Zaakcode],Tabel_prc_2022[[#This Row],[Zaakcode]],Tabel_VAS2022[Adviesofprocedure],"prc",Tabel_VAS2022[code_punten_forfait],16)</f>
        <v>0</v>
      </c>
      <c r="M20" s="35">
        <f>IFERROR(INDEX(Tabel_forfaits[forfait vanaf 2022],MATCH(Tabel_prc_2022[[#This Row],[Zaakcode]],Tabel_forfaits[Zaakcode],0)), "n.v.t.")</f>
        <v>10</v>
      </c>
      <c r="N20" s="35">
        <f>IFERROR(INDEX(Tabel_forfaits[forfait VdM II voor berekening],MATCH(Tabel_prc_2022[[#This Row],[Zaakcode]],Tabel_forfaits[Zaakcode],0)), "n.v.t.")</f>
        <v>11</v>
      </c>
      <c r="O20" s="36"/>
      <c r="P2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149</v>
      </c>
      <c r="Q2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8</v>
      </c>
      <c r="R2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20" s="35">
        <f>IF(Tabel_prc_2022[[#This Row],[procedure - forfait VdM II]]="n.v.t.",0,  Tabel_prc_2022[[#This Row],[procedure - aantal 0 punten]] * (Tabel_prc_2022[[#This Row],[procedure - forfait VdM II]] - Tabel_prc_2022[[#This Row],[procedure - forfait VdM I]]))</f>
        <v>0</v>
      </c>
      <c r="T2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158</v>
      </c>
      <c r="U2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158.5</v>
      </c>
      <c r="V20" s="109">
        <f>Tabel_prc_2022[[#This Row],[procedure - totaal extra punten toev. VdM II t.o.v. huidig]] * tarief_huidig</f>
        <v>24270.391749999999</v>
      </c>
    </row>
    <row r="21" spans="2:22" x14ac:dyDescent="0.3">
      <c r="B21" s="1" t="s">
        <v>19</v>
      </c>
      <c r="C21" s="34" t="s">
        <v>5</v>
      </c>
      <c r="D2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10</v>
      </c>
      <c r="E2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141.5</v>
      </c>
      <c r="F21" s="91">
        <f>SUMIFS(Tabel_VAS2022[aantal_VAS],Tabel_VAS2022[Zaakcode],Tabel_prc_2022[[#This Row],[Zaakcode]],Tabel_VAS2022[Adviesofprocedure],"prc",Tabel_VAS2022[code_punten_forfait],10)</f>
        <v>0</v>
      </c>
      <c r="G21" s="92">
        <f>SUMIFS(Tabel_VAS2022[aantal_VAS],Tabel_VAS2022[Zaakcode],Tabel_prc_2022[[#This Row],[Zaakcode]],Tabel_VAS2022[Adviesofprocedure],"prc",Tabel_VAS2022[code_punten_forfait],11)</f>
        <v>4</v>
      </c>
      <c r="H21" s="92">
        <f>SUMIFS(Tabel_VAS2022[aantal_VAS],Tabel_VAS2022[Zaakcode],Tabel_prc_2022[[#This Row],[Zaakcode]],Tabel_VAS2022[Adviesofprocedure],"prc",Tabel_VAS2022[code_punten_forfait],13)</f>
        <v>0</v>
      </c>
      <c r="I21" s="92">
        <f>SUMIFS(Tabel_VAS2022[aantal_VAS],Tabel_VAS2022[Zaakcode],Tabel_prc_2022[[#This Row],[Zaakcode]],Tabel_VAS2022[Adviesofprocedure],"prc",Tabel_VAS2022[code_punten_forfait],14)</f>
        <v>1</v>
      </c>
      <c r="J21" s="92">
        <f>SUMIFS(Tabel_VAS2022[aantal_VAS],Tabel_VAS2022[Zaakcode],Tabel_prc_2022[[#This Row],[Zaakcode]],Tabel_VAS2022[Adviesofprocedure],"prc",Tabel_VAS2022[code_punten_forfait],12)</f>
        <v>5</v>
      </c>
      <c r="K21" s="92">
        <f>SUMIFS(Tabel_VAS2022[aantal_VAS],Tabel_VAS2022[Zaakcode],Tabel_prc_2022[[#This Row],[Zaakcode]],Tabel_VAS2022[Adviesofprocedure],"prc",Tabel_VAS2022[code_punten_forfait],15)</f>
        <v>0</v>
      </c>
      <c r="L21" s="92">
        <f>SUMIFS(Tabel_VAS2022[aantal_VAS],Tabel_VAS2022[Zaakcode],Tabel_prc_2022[[#This Row],[Zaakcode]],Tabel_VAS2022[Adviesofprocedure],"prc",Tabel_VAS2022[code_punten_forfait],16)</f>
        <v>0</v>
      </c>
      <c r="M21" s="35">
        <f>IFERROR(INDEX(Tabel_forfaits[forfait vanaf 2022],MATCH(Tabel_prc_2022[[#This Row],[Zaakcode]],Tabel_forfaits[Zaakcode],0)), "n.v.t.")</f>
        <v>15</v>
      </c>
      <c r="N21" s="35">
        <f>IFERROR(INDEX(Tabel_forfaits[forfait VdM II voor berekening],MATCH(Tabel_prc_2022[[#This Row],[Zaakcode]],Tabel_forfaits[Zaakcode],0)), "n.v.t.")</f>
        <v>15</v>
      </c>
      <c r="O21" s="36"/>
      <c r="P2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2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1" s="35">
        <f>IF(Tabel_prc_2022[[#This Row],[procedure - forfait VdM II]]="n.v.t.",0,  Tabel_prc_2022[[#This Row],[procedure - aantal 0 punten]] * (Tabel_prc_2022[[#This Row],[procedure - forfait VdM II]] - Tabel_prc_2022[[#This Row],[procedure - forfait VdM I]]))</f>
        <v>0</v>
      </c>
      <c r="T2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10</v>
      </c>
      <c r="U2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21" s="109">
        <f>Tabel_prc_2022[[#This Row],[procedure - totaal extra punten toev. VdM II t.o.v. huidig]] * tarief_huidig</f>
        <v>0</v>
      </c>
    </row>
    <row r="22" spans="2:22" x14ac:dyDescent="0.3">
      <c r="B22" s="1" t="s">
        <v>20</v>
      </c>
      <c r="C22" s="34" t="s">
        <v>5</v>
      </c>
      <c r="D2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2454</v>
      </c>
      <c r="E2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20376.5</v>
      </c>
      <c r="F22" s="91">
        <f>SUMIFS(Tabel_VAS2022[aantal_VAS],Tabel_VAS2022[Zaakcode],Tabel_prc_2022[[#This Row],[Zaakcode]],Tabel_VAS2022[Adviesofprocedure],"prc",Tabel_VAS2022[code_punten_forfait],10)</f>
        <v>0</v>
      </c>
      <c r="G22" s="91">
        <f>SUMIFS(Tabel_VAS2022[aantal_VAS],Tabel_VAS2022[Zaakcode],Tabel_prc_2022[[#This Row],[Zaakcode]],Tabel_VAS2022[Adviesofprocedure],"prc",Tabel_VAS2022[code_punten_forfait],11)</f>
        <v>1466</v>
      </c>
      <c r="H22" s="92">
        <f>SUMIFS(Tabel_VAS2022[aantal_VAS],Tabel_VAS2022[Zaakcode],Tabel_prc_2022[[#This Row],[Zaakcode]],Tabel_VAS2022[Adviesofprocedure],"prc",Tabel_VAS2022[code_punten_forfait],13)</f>
        <v>34</v>
      </c>
      <c r="I22" s="92">
        <f>SUMIFS(Tabel_VAS2022[aantal_VAS],Tabel_VAS2022[Zaakcode],Tabel_prc_2022[[#This Row],[Zaakcode]],Tabel_VAS2022[Adviesofprocedure],"prc",Tabel_VAS2022[code_punten_forfait],14)</f>
        <v>8</v>
      </c>
      <c r="J22" s="92">
        <f>SUMIFS(Tabel_VAS2022[aantal_VAS],Tabel_VAS2022[Zaakcode],Tabel_prc_2022[[#This Row],[Zaakcode]],Tabel_VAS2022[Adviesofprocedure],"prc",Tabel_VAS2022[code_punten_forfait],12)</f>
        <v>920</v>
      </c>
      <c r="K22" s="92">
        <f>SUMIFS(Tabel_VAS2022[aantal_VAS],Tabel_VAS2022[Zaakcode],Tabel_prc_2022[[#This Row],[Zaakcode]],Tabel_VAS2022[Adviesofprocedure],"prc",Tabel_VAS2022[code_punten_forfait],15)</f>
        <v>25</v>
      </c>
      <c r="L22" s="92">
        <f>SUMIFS(Tabel_VAS2022[aantal_VAS],Tabel_VAS2022[Zaakcode],Tabel_prc_2022[[#This Row],[Zaakcode]],Tabel_VAS2022[Adviesofprocedure],"prc",Tabel_VAS2022[code_punten_forfait],16)</f>
        <v>1</v>
      </c>
      <c r="M22" s="35">
        <f>IFERROR(INDEX(Tabel_forfaits[forfait vanaf 2022],MATCH(Tabel_prc_2022[[#This Row],[Zaakcode]],Tabel_forfaits[Zaakcode],0)), "n.v.t.")</f>
        <v>9</v>
      </c>
      <c r="N22" s="35">
        <f>IFERROR(INDEX(Tabel_forfaits[forfait VdM II voor berekening],MATCH(Tabel_prc_2022[[#This Row],[Zaakcode]],Tabel_forfaits[Zaakcode],0)), "n.v.t.")</f>
        <v>9</v>
      </c>
      <c r="O22" s="36"/>
      <c r="P2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2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2" s="35">
        <f>IF(Tabel_prc_2022[[#This Row],[procedure - forfait VdM II]]="n.v.t.",0,  Tabel_prc_2022[[#This Row],[procedure - aantal 0 punten]] * (Tabel_prc_2022[[#This Row],[procedure - forfait VdM II]] - Tabel_prc_2022[[#This Row],[procedure - forfait VdM I]]))</f>
        <v>0</v>
      </c>
      <c r="T2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2454</v>
      </c>
      <c r="U2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22" s="109">
        <f>Tabel_prc_2022[[#This Row],[procedure - totaal extra punten toev. VdM II t.o.v. huidig]] * tarief_huidig</f>
        <v>0</v>
      </c>
    </row>
    <row r="23" spans="2:22" x14ac:dyDescent="0.3">
      <c r="B23" s="1" t="s">
        <v>21</v>
      </c>
      <c r="C23" s="34" t="s">
        <v>5</v>
      </c>
      <c r="D2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614</v>
      </c>
      <c r="E2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5362</v>
      </c>
      <c r="F23" s="91">
        <f>SUMIFS(Tabel_VAS2022[aantal_VAS],Tabel_VAS2022[Zaakcode],Tabel_prc_2022[[#This Row],[Zaakcode]],Tabel_VAS2022[Adviesofprocedure],"prc",Tabel_VAS2022[code_punten_forfait],10)</f>
        <v>0</v>
      </c>
      <c r="G23" s="92">
        <f>SUMIFS(Tabel_VAS2022[aantal_VAS],Tabel_VAS2022[Zaakcode],Tabel_prc_2022[[#This Row],[Zaakcode]],Tabel_VAS2022[Adviesofprocedure],"prc",Tabel_VAS2022[code_punten_forfait],11)</f>
        <v>379</v>
      </c>
      <c r="H23" s="92">
        <f>SUMIFS(Tabel_VAS2022[aantal_VAS],Tabel_VAS2022[Zaakcode],Tabel_prc_2022[[#This Row],[Zaakcode]],Tabel_VAS2022[Adviesofprocedure],"prc",Tabel_VAS2022[code_punten_forfait],13)</f>
        <v>1</v>
      </c>
      <c r="I23" s="92">
        <f>SUMIFS(Tabel_VAS2022[aantal_VAS],Tabel_VAS2022[Zaakcode],Tabel_prc_2022[[#This Row],[Zaakcode]],Tabel_VAS2022[Adviesofprocedure],"prc",Tabel_VAS2022[code_punten_forfait],14)</f>
        <v>0</v>
      </c>
      <c r="J23" s="92">
        <f>SUMIFS(Tabel_VAS2022[aantal_VAS],Tabel_VAS2022[Zaakcode],Tabel_prc_2022[[#This Row],[Zaakcode]],Tabel_VAS2022[Adviesofprocedure],"prc",Tabel_VAS2022[code_punten_forfait],12)</f>
        <v>232</v>
      </c>
      <c r="K23" s="92">
        <f>SUMIFS(Tabel_VAS2022[aantal_VAS],Tabel_VAS2022[Zaakcode],Tabel_prc_2022[[#This Row],[Zaakcode]],Tabel_VAS2022[Adviesofprocedure],"prc",Tabel_VAS2022[code_punten_forfait],15)</f>
        <v>2</v>
      </c>
      <c r="L23" s="92">
        <f>SUMIFS(Tabel_VAS2022[aantal_VAS],Tabel_VAS2022[Zaakcode],Tabel_prc_2022[[#This Row],[Zaakcode]],Tabel_VAS2022[Adviesofprocedure],"prc",Tabel_VAS2022[code_punten_forfait],16)</f>
        <v>0</v>
      </c>
      <c r="M23" s="35">
        <f>IFERROR(INDEX(Tabel_forfaits[forfait vanaf 2022],MATCH(Tabel_prc_2022[[#This Row],[Zaakcode]],Tabel_forfaits[Zaakcode],0)), "n.v.t.")</f>
        <v>10</v>
      </c>
      <c r="N23" s="35">
        <f>IFERROR(INDEX(Tabel_forfaits[forfait VdM II voor berekening],MATCH(Tabel_prc_2022[[#This Row],[Zaakcode]],Tabel_forfaits[Zaakcode],0)), "n.v.t.")</f>
        <v>11</v>
      </c>
      <c r="O23" s="36"/>
      <c r="P2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611</v>
      </c>
      <c r="Q2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v>
      </c>
      <c r="R2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3" s="35">
        <f>IF(Tabel_prc_2022[[#This Row],[procedure - forfait VdM II]]="n.v.t.",0,  Tabel_prc_2022[[#This Row],[procedure - aantal 0 punten]] * (Tabel_prc_2022[[#This Row],[procedure - forfait VdM II]] - Tabel_prc_2022[[#This Row],[procedure - forfait VdM I]]))</f>
        <v>0</v>
      </c>
      <c r="T2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614</v>
      </c>
      <c r="U2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614</v>
      </c>
      <c r="V23" s="109">
        <f>Tabel_prc_2022[[#This Row],[procedure - totaal extra punten toev. VdM II t.o.v. huidig]] * tarief_huidig</f>
        <v>94019.056999999986</v>
      </c>
    </row>
    <row r="24" spans="2:22" x14ac:dyDescent="0.3">
      <c r="B24" s="1" t="s">
        <v>22</v>
      </c>
      <c r="C24" s="34" t="s">
        <v>5</v>
      </c>
      <c r="D2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455</v>
      </c>
      <c r="E2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3850</v>
      </c>
      <c r="F24" s="91">
        <f>SUMIFS(Tabel_VAS2022[aantal_VAS],Tabel_VAS2022[Zaakcode],Tabel_prc_2022[[#This Row],[Zaakcode]],Tabel_VAS2022[Adviesofprocedure],"prc",Tabel_VAS2022[code_punten_forfait],10)</f>
        <v>0</v>
      </c>
      <c r="G24" s="92">
        <f>SUMIFS(Tabel_VAS2022[aantal_VAS],Tabel_VAS2022[Zaakcode],Tabel_prc_2022[[#This Row],[Zaakcode]],Tabel_VAS2022[Adviesofprocedure],"prc",Tabel_VAS2022[code_punten_forfait],11)</f>
        <v>245</v>
      </c>
      <c r="H24" s="92">
        <f>SUMIFS(Tabel_VAS2022[aantal_VAS],Tabel_VAS2022[Zaakcode],Tabel_prc_2022[[#This Row],[Zaakcode]],Tabel_VAS2022[Adviesofprocedure],"prc",Tabel_VAS2022[code_punten_forfait],13)</f>
        <v>0</v>
      </c>
      <c r="I24" s="92">
        <f>SUMIFS(Tabel_VAS2022[aantal_VAS],Tabel_VAS2022[Zaakcode],Tabel_prc_2022[[#This Row],[Zaakcode]],Tabel_VAS2022[Adviesofprocedure],"prc",Tabel_VAS2022[code_punten_forfait],14)</f>
        <v>1</v>
      </c>
      <c r="J24" s="92">
        <f>SUMIFS(Tabel_VAS2022[aantal_VAS],Tabel_VAS2022[Zaakcode],Tabel_prc_2022[[#This Row],[Zaakcode]],Tabel_VAS2022[Adviesofprocedure],"prc",Tabel_VAS2022[code_punten_forfait],12)</f>
        <v>209</v>
      </c>
      <c r="K24" s="92">
        <f>SUMIFS(Tabel_VAS2022[aantal_VAS],Tabel_VAS2022[Zaakcode],Tabel_prc_2022[[#This Row],[Zaakcode]],Tabel_VAS2022[Adviesofprocedure],"prc",Tabel_VAS2022[code_punten_forfait],15)</f>
        <v>0</v>
      </c>
      <c r="L24" s="92">
        <f>SUMIFS(Tabel_VAS2022[aantal_VAS],Tabel_VAS2022[Zaakcode],Tabel_prc_2022[[#This Row],[Zaakcode]],Tabel_VAS2022[Adviesofprocedure],"prc",Tabel_VAS2022[code_punten_forfait],16)</f>
        <v>0</v>
      </c>
      <c r="M24" s="35">
        <f>IFERROR(INDEX(Tabel_forfaits[forfait vanaf 2022],MATCH(Tabel_prc_2022[[#This Row],[Zaakcode]],Tabel_forfaits[Zaakcode],0)), "n.v.t.")</f>
        <v>9</v>
      </c>
      <c r="N24" s="35">
        <f>IFERROR(INDEX(Tabel_forfaits[forfait VdM II voor berekening],MATCH(Tabel_prc_2022[[#This Row],[Zaakcode]],Tabel_forfaits[Zaakcode],0)), "n.v.t.")</f>
        <v>8</v>
      </c>
      <c r="O24" s="36"/>
      <c r="P2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-454</v>
      </c>
      <c r="Q2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24" s="35">
        <f>IF(Tabel_prc_2022[[#This Row],[procedure - forfait VdM II]]="n.v.t.",0,  Tabel_prc_2022[[#This Row],[procedure - aantal 0 punten]] * (Tabel_prc_2022[[#This Row],[procedure - forfait VdM II]] - Tabel_prc_2022[[#This Row],[procedure - forfait VdM I]]))</f>
        <v>0</v>
      </c>
      <c r="T2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455</v>
      </c>
      <c r="U2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-455.5</v>
      </c>
      <c r="V24" s="109">
        <f>Tabel_prc_2022[[#This Row],[procedure - totaal extra punten toev. VdM II t.o.v. huidig]] * tarief_huidig</f>
        <v>-69748.665249999991</v>
      </c>
    </row>
    <row r="25" spans="2:22" x14ac:dyDescent="0.3">
      <c r="B25" s="1" t="s">
        <v>23</v>
      </c>
      <c r="C25" s="34" t="s">
        <v>5</v>
      </c>
      <c r="D2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4124</v>
      </c>
      <c r="E2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35488.5</v>
      </c>
      <c r="F25" s="91">
        <f>SUMIFS(Tabel_VAS2022[aantal_VAS],Tabel_VAS2022[Zaakcode],Tabel_prc_2022[[#This Row],[Zaakcode]],Tabel_VAS2022[Adviesofprocedure],"prc",Tabel_VAS2022[code_punten_forfait],10)</f>
        <v>0</v>
      </c>
      <c r="G25" s="91">
        <f>SUMIFS(Tabel_VAS2022[aantal_VAS],Tabel_VAS2022[Zaakcode],Tabel_prc_2022[[#This Row],[Zaakcode]],Tabel_VAS2022[Adviesofprocedure],"prc",Tabel_VAS2022[code_punten_forfait],11)</f>
        <v>2860</v>
      </c>
      <c r="H25" s="92">
        <f>SUMIFS(Tabel_VAS2022[aantal_VAS],Tabel_VAS2022[Zaakcode],Tabel_prc_2022[[#This Row],[Zaakcode]],Tabel_VAS2022[Adviesofprocedure],"prc",Tabel_VAS2022[code_punten_forfait],13)</f>
        <v>1</v>
      </c>
      <c r="I25" s="92">
        <f>SUMIFS(Tabel_VAS2022[aantal_VAS],Tabel_VAS2022[Zaakcode],Tabel_prc_2022[[#This Row],[Zaakcode]],Tabel_VAS2022[Adviesofprocedure],"prc",Tabel_VAS2022[code_punten_forfait],14)</f>
        <v>6</v>
      </c>
      <c r="J25" s="91">
        <f>SUMIFS(Tabel_VAS2022[aantal_VAS],Tabel_VAS2022[Zaakcode],Tabel_prc_2022[[#This Row],[Zaakcode]],Tabel_VAS2022[Adviesofprocedure],"prc",Tabel_VAS2022[code_punten_forfait],12)</f>
        <v>1244</v>
      </c>
      <c r="K25" s="92">
        <f>SUMIFS(Tabel_VAS2022[aantal_VAS],Tabel_VAS2022[Zaakcode],Tabel_prc_2022[[#This Row],[Zaakcode]],Tabel_VAS2022[Adviesofprocedure],"prc",Tabel_VAS2022[code_punten_forfait],15)</f>
        <v>10</v>
      </c>
      <c r="L25" s="92">
        <f>SUMIFS(Tabel_VAS2022[aantal_VAS],Tabel_VAS2022[Zaakcode],Tabel_prc_2022[[#This Row],[Zaakcode]],Tabel_VAS2022[Adviesofprocedure],"prc",Tabel_VAS2022[code_punten_forfait],16)</f>
        <v>3</v>
      </c>
      <c r="M25" s="35">
        <f>IFERROR(INDEX(Tabel_forfaits[forfait vanaf 2022],MATCH(Tabel_prc_2022[[#This Row],[Zaakcode]],Tabel_forfaits[Zaakcode],0)), "n.v.t.")</f>
        <v>10</v>
      </c>
      <c r="N25" s="35">
        <f>IFERROR(INDEX(Tabel_forfaits[forfait VdM II voor berekening],MATCH(Tabel_prc_2022[[#This Row],[Zaakcode]],Tabel_forfaits[Zaakcode],0)), "n.v.t.")</f>
        <v>9</v>
      </c>
      <c r="O25" s="36"/>
      <c r="P2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-4104</v>
      </c>
      <c r="Q2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-11</v>
      </c>
      <c r="R2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-13.5</v>
      </c>
      <c r="S25" s="35">
        <f>IF(Tabel_prc_2022[[#This Row],[procedure - forfait VdM II]]="n.v.t.",0,  Tabel_prc_2022[[#This Row],[procedure - aantal 0 punten]] * (Tabel_prc_2022[[#This Row],[procedure - forfait VdM II]] - Tabel_prc_2022[[#This Row],[procedure - forfait VdM I]]))</f>
        <v>0</v>
      </c>
      <c r="T2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4124</v>
      </c>
      <c r="U2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-4128.5</v>
      </c>
      <c r="V25" s="109">
        <f>Tabel_prc_2022[[#This Row],[procedure - totaal extra punten toev. VdM II t.o.v. huidig]] * tarief_huidig</f>
        <v>-632178.62674999994</v>
      </c>
    </row>
    <row r="26" spans="2:22" x14ac:dyDescent="0.3">
      <c r="B26" s="1" t="s">
        <v>24</v>
      </c>
      <c r="C26" s="34" t="s">
        <v>5</v>
      </c>
      <c r="D2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1797</v>
      </c>
      <c r="E2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15458</v>
      </c>
      <c r="F26" s="91">
        <f>SUMIFS(Tabel_VAS2022[aantal_VAS],Tabel_VAS2022[Zaakcode],Tabel_prc_2022[[#This Row],[Zaakcode]],Tabel_VAS2022[Adviesofprocedure],"prc",Tabel_VAS2022[code_punten_forfait],10)</f>
        <v>0</v>
      </c>
      <c r="G26" s="91">
        <f>SUMIFS(Tabel_VAS2022[aantal_VAS],Tabel_VAS2022[Zaakcode],Tabel_prc_2022[[#This Row],[Zaakcode]],Tabel_VAS2022[Adviesofprocedure],"prc",Tabel_VAS2022[code_punten_forfait],11)</f>
        <v>1180</v>
      </c>
      <c r="H26" s="92">
        <f>SUMIFS(Tabel_VAS2022[aantal_VAS],Tabel_VAS2022[Zaakcode],Tabel_prc_2022[[#This Row],[Zaakcode]],Tabel_VAS2022[Adviesofprocedure],"prc",Tabel_VAS2022[code_punten_forfait],13)</f>
        <v>8</v>
      </c>
      <c r="I26" s="92">
        <f>SUMIFS(Tabel_VAS2022[aantal_VAS],Tabel_VAS2022[Zaakcode],Tabel_prc_2022[[#This Row],[Zaakcode]],Tabel_VAS2022[Adviesofprocedure],"prc",Tabel_VAS2022[code_punten_forfait],14)</f>
        <v>6</v>
      </c>
      <c r="J26" s="92">
        <f>SUMIFS(Tabel_VAS2022[aantal_VAS],Tabel_VAS2022[Zaakcode],Tabel_prc_2022[[#This Row],[Zaakcode]],Tabel_VAS2022[Adviesofprocedure],"prc",Tabel_VAS2022[code_punten_forfait],12)</f>
        <v>582</v>
      </c>
      <c r="K26" s="92">
        <f>SUMIFS(Tabel_VAS2022[aantal_VAS],Tabel_VAS2022[Zaakcode],Tabel_prc_2022[[#This Row],[Zaakcode]],Tabel_VAS2022[Adviesofprocedure],"prc",Tabel_VAS2022[code_punten_forfait],15)</f>
        <v>21</v>
      </c>
      <c r="L26" s="92">
        <f>SUMIFS(Tabel_VAS2022[aantal_VAS],Tabel_VAS2022[Zaakcode],Tabel_prc_2022[[#This Row],[Zaakcode]],Tabel_VAS2022[Adviesofprocedure],"prc",Tabel_VAS2022[code_punten_forfait],16)</f>
        <v>0</v>
      </c>
      <c r="M26" s="35">
        <f>IFERROR(INDEX(Tabel_forfaits[forfait vanaf 2022],MATCH(Tabel_prc_2022[[#This Row],[Zaakcode]],Tabel_forfaits[Zaakcode],0)), "n.v.t.")</f>
        <v>10</v>
      </c>
      <c r="N26" s="35">
        <f>IFERROR(INDEX(Tabel_forfaits[forfait VdM II voor berekening],MATCH(Tabel_prc_2022[[#This Row],[Zaakcode]],Tabel_forfaits[Zaakcode],0)), "n.v.t.")</f>
        <v>9</v>
      </c>
      <c r="O26" s="36"/>
      <c r="P2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-1762</v>
      </c>
      <c r="Q2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-29</v>
      </c>
      <c r="R2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-9</v>
      </c>
      <c r="S26" s="35">
        <f>IF(Tabel_prc_2022[[#This Row],[procedure - forfait VdM II]]="n.v.t.",0,  Tabel_prc_2022[[#This Row],[procedure - aantal 0 punten]] * (Tabel_prc_2022[[#This Row],[procedure - forfait VdM II]] - Tabel_prc_2022[[#This Row],[procedure - forfait VdM I]]))</f>
        <v>0</v>
      </c>
      <c r="T2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1797</v>
      </c>
      <c r="U2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-1800</v>
      </c>
      <c r="V26" s="109">
        <f>Tabel_prc_2022[[#This Row],[procedure - totaal extra punten toev. VdM II t.o.v. huidig]] * tarief_huidig</f>
        <v>-275625.89999999997</v>
      </c>
    </row>
    <row r="27" spans="2:22" x14ac:dyDescent="0.3">
      <c r="B27" s="1" t="s">
        <v>25</v>
      </c>
      <c r="C27" s="34" t="s">
        <v>5</v>
      </c>
      <c r="D2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214</v>
      </c>
      <c r="E2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1779</v>
      </c>
      <c r="F27" s="91">
        <f>SUMIFS(Tabel_VAS2022[aantal_VAS],Tabel_VAS2022[Zaakcode],Tabel_prc_2022[[#This Row],[Zaakcode]],Tabel_VAS2022[Adviesofprocedure],"prc",Tabel_VAS2022[code_punten_forfait],10)</f>
        <v>0</v>
      </c>
      <c r="G27" s="92">
        <f>SUMIFS(Tabel_VAS2022[aantal_VAS],Tabel_VAS2022[Zaakcode],Tabel_prc_2022[[#This Row],[Zaakcode]],Tabel_VAS2022[Adviesofprocedure],"prc",Tabel_VAS2022[code_punten_forfait],11)</f>
        <v>140</v>
      </c>
      <c r="H27" s="92">
        <f>SUMIFS(Tabel_VAS2022[aantal_VAS],Tabel_VAS2022[Zaakcode],Tabel_prc_2022[[#This Row],[Zaakcode]],Tabel_VAS2022[Adviesofprocedure],"prc",Tabel_VAS2022[code_punten_forfait],13)</f>
        <v>0</v>
      </c>
      <c r="I27" s="92">
        <f>SUMIFS(Tabel_VAS2022[aantal_VAS],Tabel_VAS2022[Zaakcode],Tabel_prc_2022[[#This Row],[Zaakcode]],Tabel_VAS2022[Adviesofprocedure],"prc",Tabel_VAS2022[code_punten_forfait],14)</f>
        <v>0</v>
      </c>
      <c r="J27" s="92">
        <f>SUMIFS(Tabel_VAS2022[aantal_VAS],Tabel_VAS2022[Zaakcode],Tabel_prc_2022[[#This Row],[Zaakcode]],Tabel_VAS2022[Adviesofprocedure],"prc",Tabel_VAS2022[code_punten_forfait],12)</f>
        <v>73</v>
      </c>
      <c r="K27" s="92">
        <f>SUMIFS(Tabel_VAS2022[aantal_VAS],Tabel_VAS2022[Zaakcode],Tabel_prc_2022[[#This Row],[Zaakcode]],Tabel_VAS2022[Adviesofprocedure],"prc",Tabel_VAS2022[code_punten_forfait],15)</f>
        <v>1</v>
      </c>
      <c r="L27" s="92">
        <f>SUMIFS(Tabel_VAS2022[aantal_VAS],Tabel_VAS2022[Zaakcode],Tabel_prc_2022[[#This Row],[Zaakcode]],Tabel_VAS2022[Adviesofprocedure],"prc",Tabel_VAS2022[code_punten_forfait],16)</f>
        <v>0</v>
      </c>
      <c r="M27" s="35">
        <f>IFERROR(INDEX(Tabel_forfaits[forfait vanaf 2022],MATCH(Tabel_prc_2022[[#This Row],[Zaakcode]],Tabel_forfaits[Zaakcode],0)), "n.v.t.")</f>
        <v>9</v>
      </c>
      <c r="N27" s="35">
        <f>IFERROR(INDEX(Tabel_forfaits[forfait VdM II voor berekening],MATCH(Tabel_prc_2022[[#This Row],[Zaakcode]],Tabel_forfaits[Zaakcode],0)), "n.v.t.")</f>
        <v>9</v>
      </c>
      <c r="O27" s="36"/>
      <c r="P2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2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7" s="35">
        <f>IF(Tabel_prc_2022[[#This Row],[procedure - forfait VdM II]]="n.v.t.",0,  Tabel_prc_2022[[#This Row],[procedure - aantal 0 punten]] * (Tabel_prc_2022[[#This Row],[procedure - forfait VdM II]] - Tabel_prc_2022[[#This Row],[procedure - forfait VdM I]]))</f>
        <v>0</v>
      </c>
      <c r="T2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214</v>
      </c>
      <c r="U2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27" s="109">
        <f>Tabel_prc_2022[[#This Row],[procedure - totaal extra punten toev. VdM II t.o.v. huidig]] * tarief_huidig</f>
        <v>0</v>
      </c>
    </row>
    <row r="28" spans="2:22" x14ac:dyDescent="0.3">
      <c r="B28" s="1" t="s">
        <v>26</v>
      </c>
      <c r="C28" s="34" t="s">
        <v>5</v>
      </c>
      <c r="D2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346</v>
      </c>
      <c r="E2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4681.3</v>
      </c>
      <c r="F28" s="91">
        <f>SUMIFS(Tabel_VAS2022[aantal_VAS],Tabel_VAS2022[Zaakcode],Tabel_prc_2022[[#This Row],[Zaakcode]],Tabel_VAS2022[Adviesofprocedure],"prc",Tabel_VAS2022[code_punten_forfait],10)</f>
        <v>8</v>
      </c>
      <c r="G28" s="92">
        <f>SUMIFS(Tabel_VAS2022[aantal_VAS],Tabel_VAS2022[Zaakcode],Tabel_prc_2022[[#This Row],[Zaakcode]],Tabel_VAS2022[Adviesofprocedure],"prc",Tabel_VAS2022[code_punten_forfait],11)</f>
        <v>222</v>
      </c>
      <c r="H28" s="92">
        <f>SUMIFS(Tabel_VAS2022[aantal_VAS],Tabel_VAS2022[Zaakcode],Tabel_prc_2022[[#This Row],[Zaakcode]],Tabel_VAS2022[Adviesofprocedure],"prc",Tabel_VAS2022[code_punten_forfait],13)</f>
        <v>44</v>
      </c>
      <c r="I28" s="92">
        <f>SUMIFS(Tabel_VAS2022[aantal_VAS],Tabel_VAS2022[Zaakcode],Tabel_prc_2022[[#This Row],[Zaakcode]],Tabel_VAS2022[Adviesofprocedure],"prc",Tabel_VAS2022[code_punten_forfait],14)</f>
        <v>0</v>
      </c>
      <c r="J28" s="92">
        <f>SUMIFS(Tabel_VAS2022[aantal_VAS],Tabel_VAS2022[Zaakcode],Tabel_prc_2022[[#This Row],[Zaakcode]],Tabel_VAS2022[Adviesofprocedure],"prc",Tabel_VAS2022[code_punten_forfait],12)</f>
        <v>65</v>
      </c>
      <c r="K28" s="92">
        <f>SUMIFS(Tabel_VAS2022[aantal_VAS],Tabel_VAS2022[Zaakcode],Tabel_prc_2022[[#This Row],[Zaakcode]],Tabel_VAS2022[Adviesofprocedure],"prc",Tabel_VAS2022[code_punten_forfait],15)</f>
        <v>7</v>
      </c>
      <c r="L28" s="92">
        <f>SUMIFS(Tabel_VAS2022[aantal_VAS],Tabel_VAS2022[Zaakcode],Tabel_prc_2022[[#This Row],[Zaakcode]],Tabel_VAS2022[Adviesofprocedure],"prc",Tabel_VAS2022[code_punten_forfait],16)</f>
        <v>0</v>
      </c>
      <c r="M28" s="35">
        <f>IFERROR(INDEX(Tabel_forfaits[forfait vanaf 2022],MATCH(Tabel_prc_2022[[#This Row],[Zaakcode]],Tabel_forfaits[Zaakcode],0)), "n.v.t.")</f>
        <v>25</v>
      </c>
      <c r="N28" s="35">
        <f>IFERROR(INDEX(Tabel_forfaits[forfait VdM II voor berekening],MATCH(Tabel_prc_2022[[#This Row],[Zaakcode]],Tabel_forfaits[Zaakcode],0)), "n.v.t.")</f>
        <v>25</v>
      </c>
      <c r="O28" s="36"/>
      <c r="P2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2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8" s="35">
        <f>IF(Tabel_prc_2022[[#This Row],[procedure - forfait VdM II]]="n.v.t.",0,  Tabel_prc_2022[[#This Row],[procedure - aantal 0 punten]] * (Tabel_prc_2022[[#This Row],[procedure - forfait VdM II]] - Tabel_prc_2022[[#This Row],[procedure - forfait VdM I]]))</f>
        <v>0</v>
      </c>
      <c r="T2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338</v>
      </c>
      <c r="U2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28" s="109">
        <f>Tabel_prc_2022[[#This Row],[procedure - totaal extra punten toev. VdM II t.o.v. huidig]] * tarief_huidig</f>
        <v>0</v>
      </c>
    </row>
    <row r="29" spans="2:22" x14ac:dyDescent="0.3">
      <c r="B29" s="1" t="s">
        <v>27</v>
      </c>
      <c r="C29" s="34" t="s">
        <v>5</v>
      </c>
      <c r="D2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179</v>
      </c>
      <c r="E2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1448</v>
      </c>
      <c r="F29" s="91">
        <f>SUMIFS(Tabel_VAS2022[aantal_VAS],Tabel_VAS2022[Zaakcode],Tabel_prc_2022[[#This Row],[Zaakcode]],Tabel_VAS2022[Adviesofprocedure],"prc",Tabel_VAS2022[code_punten_forfait],10)</f>
        <v>0</v>
      </c>
      <c r="G29" s="92">
        <f>SUMIFS(Tabel_VAS2022[aantal_VAS],Tabel_VAS2022[Zaakcode],Tabel_prc_2022[[#This Row],[Zaakcode]],Tabel_VAS2022[Adviesofprocedure],"prc",Tabel_VAS2022[code_punten_forfait],11)</f>
        <v>133</v>
      </c>
      <c r="H29" s="92">
        <f>SUMIFS(Tabel_VAS2022[aantal_VAS],Tabel_VAS2022[Zaakcode],Tabel_prc_2022[[#This Row],[Zaakcode]],Tabel_VAS2022[Adviesofprocedure],"prc",Tabel_VAS2022[code_punten_forfait],13)</f>
        <v>7</v>
      </c>
      <c r="I29" s="92">
        <f>SUMIFS(Tabel_VAS2022[aantal_VAS],Tabel_VAS2022[Zaakcode],Tabel_prc_2022[[#This Row],[Zaakcode]],Tabel_VAS2022[Adviesofprocedure],"prc",Tabel_VAS2022[code_punten_forfait],14)</f>
        <v>3</v>
      </c>
      <c r="J29" s="92">
        <f>SUMIFS(Tabel_VAS2022[aantal_VAS],Tabel_VAS2022[Zaakcode],Tabel_prc_2022[[#This Row],[Zaakcode]],Tabel_VAS2022[Adviesofprocedure],"prc",Tabel_VAS2022[code_punten_forfait],12)</f>
        <v>29</v>
      </c>
      <c r="K29" s="92">
        <f>SUMIFS(Tabel_VAS2022[aantal_VAS],Tabel_VAS2022[Zaakcode],Tabel_prc_2022[[#This Row],[Zaakcode]],Tabel_VAS2022[Adviesofprocedure],"prc",Tabel_VAS2022[code_punten_forfait],15)</f>
        <v>6</v>
      </c>
      <c r="L29" s="92">
        <f>SUMIFS(Tabel_VAS2022[aantal_VAS],Tabel_VAS2022[Zaakcode],Tabel_prc_2022[[#This Row],[Zaakcode]],Tabel_VAS2022[Adviesofprocedure],"prc",Tabel_VAS2022[code_punten_forfait],16)</f>
        <v>1</v>
      </c>
      <c r="M29" s="35">
        <f>IFERROR(INDEX(Tabel_forfaits[forfait vanaf 2022],MATCH(Tabel_prc_2022[[#This Row],[Zaakcode]],Tabel_forfaits[Zaakcode],0)), "n.v.t.")</f>
        <v>9</v>
      </c>
      <c r="N29" s="35">
        <f>IFERROR(INDEX(Tabel_forfaits[forfait VdM II voor berekening],MATCH(Tabel_prc_2022[[#This Row],[Zaakcode]],Tabel_forfaits[Zaakcode],0)), "n.v.t.")</f>
        <v>9</v>
      </c>
      <c r="O29" s="36"/>
      <c r="P2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2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2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29" s="35">
        <f>IF(Tabel_prc_2022[[#This Row],[procedure - forfait VdM II]]="n.v.t.",0,  Tabel_prc_2022[[#This Row],[procedure - aantal 0 punten]] * (Tabel_prc_2022[[#This Row],[procedure - forfait VdM II]] - Tabel_prc_2022[[#This Row],[procedure - forfait VdM I]]))</f>
        <v>0</v>
      </c>
      <c r="T2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179</v>
      </c>
      <c r="U2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29" s="109">
        <f>Tabel_prc_2022[[#This Row],[procedure - totaal extra punten toev. VdM II t.o.v. huidig]] * tarief_huidig</f>
        <v>0</v>
      </c>
    </row>
    <row r="30" spans="2:22" x14ac:dyDescent="0.3">
      <c r="B30" s="1" t="s">
        <v>28</v>
      </c>
      <c r="C30" s="34" t="s">
        <v>5</v>
      </c>
      <c r="D3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95</v>
      </c>
      <c r="E3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1345.3</v>
      </c>
      <c r="F30" s="91">
        <f>SUMIFS(Tabel_VAS2022[aantal_VAS],Tabel_VAS2022[Zaakcode],Tabel_prc_2022[[#This Row],[Zaakcode]],Tabel_VAS2022[Adviesofprocedure],"prc",Tabel_VAS2022[code_punten_forfait],10)</f>
        <v>0</v>
      </c>
      <c r="G30" s="92">
        <f>SUMIFS(Tabel_VAS2022[aantal_VAS],Tabel_VAS2022[Zaakcode],Tabel_prc_2022[[#This Row],[Zaakcode]],Tabel_VAS2022[Adviesofprocedure],"prc",Tabel_VAS2022[code_punten_forfait],11)</f>
        <v>69</v>
      </c>
      <c r="H30" s="92">
        <f>SUMIFS(Tabel_VAS2022[aantal_VAS],Tabel_VAS2022[Zaakcode],Tabel_prc_2022[[#This Row],[Zaakcode]],Tabel_VAS2022[Adviesofprocedure],"prc",Tabel_VAS2022[code_punten_forfait],13)</f>
        <v>1</v>
      </c>
      <c r="I30" s="92">
        <f>SUMIFS(Tabel_VAS2022[aantal_VAS],Tabel_VAS2022[Zaakcode],Tabel_prc_2022[[#This Row],[Zaakcode]],Tabel_VAS2022[Adviesofprocedure],"prc",Tabel_VAS2022[code_punten_forfait],14)</f>
        <v>0</v>
      </c>
      <c r="J30" s="92">
        <f>SUMIFS(Tabel_VAS2022[aantal_VAS],Tabel_VAS2022[Zaakcode],Tabel_prc_2022[[#This Row],[Zaakcode]],Tabel_VAS2022[Adviesofprocedure],"prc",Tabel_VAS2022[code_punten_forfait],12)</f>
        <v>24</v>
      </c>
      <c r="K30" s="92">
        <f>SUMIFS(Tabel_VAS2022[aantal_VAS],Tabel_VAS2022[Zaakcode],Tabel_prc_2022[[#This Row],[Zaakcode]],Tabel_VAS2022[Adviesofprocedure],"prc",Tabel_VAS2022[code_punten_forfait],15)</f>
        <v>1</v>
      </c>
      <c r="L30" s="92">
        <f>SUMIFS(Tabel_VAS2022[aantal_VAS],Tabel_VAS2022[Zaakcode],Tabel_prc_2022[[#This Row],[Zaakcode]],Tabel_VAS2022[Adviesofprocedure],"prc",Tabel_VAS2022[code_punten_forfait],16)</f>
        <v>0</v>
      </c>
      <c r="M30" s="35">
        <f>IFERROR(INDEX(Tabel_forfaits[forfait vanaf 2022],MATCH(Tabel_prc_2022[[#This Row],[Zaakcode]],Tabel_forfaits[Zaakcode],0)), "n.v.t.")</f>
        <v>21</v>
      </c>
      <c r="N30" s="35">
        <f>IFERROR(INDEX(Tabel_forfaits[forfait VdM II voor berekening],MATCH(Tabel_prc_2022[[#This Row],[Zaakcode]],Tabel_forfaits[Zaakcode],0)), "n.v.t.")</f>
        <v>21</v>
      </c>
      <c r="O30" s="36"/>
      <c r="P3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0" s="35">
        <f>IF(Tabel_prc_2022[[#This Row],[procedure - forfait VdM II]]="n.v.t.",0,  Tabel_prc_2022[[#This Row],[procedure - aantal 0 punten]] * (Tabel_prc_2022[[#This Row],[procedure - forfait VdM II]] - Tabel_prc_2022[[#This Row],[procedure - forfait VdM I]]))</f>
        <v>0</v>
      </c>
      <c r="T3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95</v>
      </c>
      <c r="U3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0" s="109">
        <f>Tabel_prc_2022[[#This Row],[procedure - totaal extra punten toev. VdM II t.o.v. huidig]] * tarief_huidig</f>
        <v>0</v>
      </c>
    </row>
    <row r="31" spans="2:22" x14ac:dyDescent="0.3">
      <c r="B31" s="1" t="s">
        <v>29</v>
      </c>
      <c r="C31" s="34" t="s">
        <v>5</v>
      </c>
      <c r="D3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1961</v>
      </c>
      <c r="E3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23014</v>
      </c>
      <c r="F31" s="91">
        <f>SUMIFS(Tabel_VAS2022[aantal_VAS],Tabel_VAS2022[Zaakcode],Tabel_prc_2022[[#This Row],[Zaakcode]],Tabel_VAS2022[Adviesofprocedure],"prc",Tabel_VAS2022[code_punten_forfait],10)</f>
        <v>16</v>
      </c>
      <c r="G31" s="92">
        <f>SUMIFS(Tabel_VAS2022[aantal_VAS],Tabel_VAS2022[Zaakcode],Tabel_prc_2022[[#This Row],[Zaakcode]],Tabel_VAS2022[Adviesofprocedure],"prc",Tabel_VAS2022[code_punten_forfait],11)</f>
        <v>943</v>
      </c>
      <c r="H31" s="92">
        <f>SUMIFS(Tabel_VAS2022[aantal_VAS],Tabel_VAS2022[Zaakcode],Tabel_prc_2022[[#This Row],[Zaakcode]],Tabel_VAS2022[Adviesofprocedure],"prc",Tabel_VAS2022[code_punten_forfait],13)</f>
        <v>34</v>
      </c>
      <c r="I31" s="92">
        <f>SUMIFS(Tabel_VAS2022[aantal_VAS],Tabel_VAS2022[Zaakcode],Tabel_prc_2022[[#This Row],[Zaakcode]],Tabel_VAS2022[Adviesofprocedure],"prc",Tabel_VAS2022[code_punten_forfait],14)</f>
        <v>2</v>
      </c>
      <c r="J31" s="92">
        <f>SUMIFS(Tabel_VAS2022[aantal_VAS],Tabel_VAS2022[Zaakcode],Tabel_prc_2022[[#This Row],[Zaakcode]],Tabel_VAS2022[Adviesofprocedure],"prc",Tabel_VAS2022[code_punten_forfait],12)</f>
        <v>934</v>
      </c>
      <c r="K31" s="92">
        <f>SUMIFS(Tabel_VAS2022[aantal_VAS],Tabel_VAS2022[Zaakcode],Tabel_prc_2022[[#This Row],[Zaakcode]],Tabel_VAS2022[Adviesofprocedure],"prc",Tabel_VAS2022[code_punten_forfait],15)</f>
        <v>32</v>
      </c>
      <c r="L31" s="92">
        <f>SUMIFS(Tabel_VAS2022[aantal_VAS],Tabel_VAS2022[Zaakcode],Tabel_prc_2022[[#This Row],[Zaakcode]],Tabel_VAS2022[Adviesofprocedure],"prc",Tabel_VAS2022[code_punten_forfait],16)</f>
        <v>0</v>
      </c>
      <c r="M31" s="35">
        <f>IFERROR(INDEX(Tabel_forfaits[forfait vanaf 2022],MATCH(Tabel_prc_2022[[#This Row],[Zaakcode]],Tabel_forfaits[Zaakcode],0)), "n.v.t.")</f>
        <v>15</v>
      </c>
      <c r="N31" s="35">
        <f>IFERROR(INDEX(Tabel_forfaits[forfait VdM II voor berekening],MATCH(Tabel_prc_2022[[#This Row],[Zaakcode]],Tabel_forfaits[Zaakcode],0)), "n.v.t.")</f>
        <v>16</v>
      </c>
      <c r="O31" s="36"/>
      <c r="P3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1877</v>
      </c>
      <c r="Q3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66</v>
      </c>
      <c r="R3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31" s="35">
        <f>IF(Tabel_prc_2022[[#This Row],[procedure - forfait VdM II]]="n.v.t.",0,  Tabel_prc_2022[[#This Row],[procedure - aantal 0 punten]] * (Tabel_prc_2022[[#This Row],[procedure - forfait VdM II]] - Tabel_prc_2022[[#This Row],[procedure - forfait VdM I]]))</f>
        <v>16</v>
      </c>
      <c r="T3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1945</v>
      </c>
      <c r="U3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1946</v>
      </c>
      <c r="V31" s="109">
        <f>Tabel_prc_2022[[#This Row],[procedure - totaal extra punten toev. VdM II t.o.v. huidig]] * tarief_huidig</f>
        <v>297982.223</v>
      </c>
    </row>
    <row r="32" spans="2:22" x14ac:dyDescent="0.3">
      <c r="B32" s="1" t="s">
        <v>30</v>
      </c>
      <c r="C32" s="34" t="s">
        <v>5</v>
      </c>
      <c r="D3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370</v>
      </c>
      <c r="E3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4551.8</v>
      </c>
      <c r="F32" s="91">
        <f>SUMIFS(Tabel_VAS2022[aantal_VAS],Tabel_VAS2022[Zaakcode],Tabel_prc_2022[[#This Row],[Zaakcode]],Tabel_VAS2022[Adviesofprocedure],"prc",Tabel_VAS2022[code_punten_forfait],10)</f>
        <v>0</v>
      </c>
      <c r="G32" s="92">
        <f>SUMIFS(Tabel_VAS2022[aantal_VAS],Tabel_VAS2022[Zaakcode],Tabel_prc_2022[[#This Row],[Zaakcode]],Tabel_VAS2022[Adviesofprocedure],"prc",Tabel_VAS2022[code_punten_forfait],11)</f>
        <v>164</v>
      </c>
      <c r="H32" s="92">
        <f>SUMIFS(Tabel_VAS2022[aantal_VAS],Tabel_VAS2022[Zaakcode],Tabel_prc_2022[[#This Row],[Zaakcode]],Tabel_VAS2022[Adviesofprocedure],"prc",Tabel_VAS2022[code_punten_forfait],13)</f>
        <v>98</v>
      </c>
      <c r="I32" s="92">
        <f>SUMIFS(Tabel_VAS2022[aantal_VAS],Tabel_VAS2022[Zaakcode],Tabel_prc_2022[[#This Row],[Zaakcode]],Tabel_VAS2022[Adviesofprocedure],"prc",Tabel_VAS2022[code_punten_forfait],14)</f>
        <v>1</v>
      </c>
      <c r="J32" s="92">
        <f>SUMIFS(Tabel_VAS2022[aantal_VAS],Tabel_VAS2022[Zaakcode],Tabel_prc_2022[[#This Row],[Zaakcode]],Tabel_VAS2022[Adviesofprocedure],"prc",Tabel_VAS2022[code_punten_forfait],12)</f>
        <v>87</v>
      </c>
      <c r="K32" s="92">
        <f>SUMIFS(Tabel_VAS2022[aantal_VAS],Tabel_VAS2022[Zaakcode],Tabel_prc_2022[[#This Row],[Zaakcode]],Tabel_VAS2022[Adviesofprocedure],"prc",Tabel_VAS2022[code_punten_forfait],15)</f>
        <v>20</v>
      </c>
      <c r="L32" s="92">
        <f>SUMIFS(Tabel_VAS2022[aantal_VAS],Tabel_VAS2022[Zaakcode],Tabel_prc_2022[[#This Row],[Zaakcode]],Tabel_VAS2022[Adviesofprocedure],"prc",Tabel_VAS2022[code_punten_forfait],16)</f>
        <v>0</v>
      </c>
      <c r="M32" s="35">
        <f>IFERROR(INDEX(Tabel_forfaits[forfait vanaf 2022],MATCH(Tabel_prc_2022[[#This Row],[Zaakcode]],Tabel_forfaits[Zaakcode],0)), "n.v.t.")</f>
        <v>22</v>
      </c>
      <c r="N32" s="35">
        <f>IFERROR(INDEX(Tabel_forfaits[forfait VdM II voor berekening],MATCH(Tabel_prc_2022[[#This Row],[Zaakcode]],Tabel_forfaits[Zaakcode],0)), "n.v.t.")</f>
        <v>22</v>
      </c>
      <c r="O32" s="36"/>
      <c r="P3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2" s="35">
        <f>IF(Tabel_prc_2022[[#This Row],[procedure - forfait VdM II]]="n.v.t.",0,  Tabel_prc_2022[[#This Row],[procedure - aantal 0 punten]] * (Tabel_prc_2022[[#This Row],[procedure - forfait VdM II]] - Tabel_prc_2022[[#This Row],[procedure - forfait VdM I]]))</f>
        <v>0</v>
      </c>
      <c r="T3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370</v>
      </c>
      <c r="U3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2" s="109">
        <f>Tabel_prc_2022[[#This Row],[procedure - totaal extra punten toev. VdM II t.o.v. huidig]] * tarief_huidig</f>
        <v>0</v>
      </c>
    </row>
    <row r="33" spans="2:22" x14ac:dyDescent="0.3">
      <c r="B33" s="1" t="s">
        <v>31</v>
      </c>
      <c r="C33" s="34" t="s">
        <v>5</v>
      </c>
      <c r="D3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51</v>
      </c>
      <c r="E3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474.1</v>
      </c>
      <c r="F33" s="91">
        <f>SUMIFS(Tabel_VAS2022[aantal_VAS],Tabel_VAS2022[Zaakcode],Tabel_prc_2022[[#This Row],[Zaakcode]],Tabel_VAS2022[Adviesofprocedure],"prc",Tabel_VAS2022[code_punten_forfait],10)</f>
        <v>1</v>
      </c>
      <c r="G33" s="92">
        <f>SUMIFS(Tabel_VAS2022[aantal_VAS],Tabel_VAS2022[Zaakcode],Tabel_prc_2022[[#This Row],[Zaakcode]],Tabel_VAS2022[Adviesofprocedure],"prc",Tabel_VAS2022[code_punten_forfait],11)</f>
        <v>23</v>
      </c>
      <c r="H33" s="92">
        <f>SUMIFS(Tabel_VAS2022[aantal_VAS],Tabel_VAS2022[Zaakcode],Tabel_prc_2022[[#This Row],[Zaakcode]],Tabel_VAS2022[Adviesofprocedure],"prc",Tabel_VAS2022[code_punten_forfait],13)</f>
        <v>3</v>
      </c>
      <c r="I33" s="92">
        <f>SUMIFS(Tabel_VAS2022[aantal_VAS],Tabel_VAS2022[Zaakcode],Tabel_prc_2022[[#This Row],[Zaakcode]],Tabel_VAS2022[Adviesofprocedure],"prc",Tabel_VAS2022[code_punten_forfait],14)</f>
        <v>0</v>
      </c>
      <c r="J33" s="92">
        <f>SUMIFS(Tabel_VAS2022[aantal_VAS],Tabel_VAS2022[Zaakcode],Tabel_prc_2022[[#This Row],[Zaakcode]],Tabel_VAS2022[Adviesofprocedure],"prc",Tabel_VAS2022[code_punten_forfait],12)</f>
        <v>23</v>
      </c>
      <c r="K33" s="92">
        <f>SUMIFS(Tabel_VAS2022[aantal_VAS],Tabel_VAS2022[Zaakcode],Tabel_prc_2022[[#This Row],[Zaakcode]],Tabel_VAS2022[Adviesofprocedure],"prc",Tabel_VAS2022[code_punten_forfait],15)</f>
        <v>1</v>
      </c>
      <c r="L33" s="92">
        <f>SUMIFS(Tabel_VAS2022[aantal_VAS],Tabel_VAS2022[Zaakcode],Tabel_prc_2022[[#This Row],[Zaakcode]],Tabel_VAS2022[Adviesofprocedure],"prc",Tabel_VAS2022[code_punten_forfait],16)</f>
        <v>0</v>
      </c>
      <c r="M33" s="35">
        <f>IFERROR(INDEX(Tabel_forfaits[forfait vanaf 2022],MATCH(Tabel_prc_2022[[#This Row],[Zaakcode]],Tabel_forfaits[Zaakcode],0)), "n.v.t.")</f>
        <v>15</v>
      </c>
      <c r="N33" s="35">
        <f>IFERROR(INDEX(Tabel_forfaits[forfait VdM II voor berekening],MATCH(Tabel_prc_2022[[#This Row],[Zaakcode]],Tabel_forfaits[Zaakcode],0)), "n.v.t.")</f>
        <v>18</v>
      </c>
      <c r="O33" s="36"/>
      <c r="P3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138</v>
      </c>
      <c r="Q3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12</v>
      </c>
      <c r="R3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3" s="35">
        <f>IF(Tabel_prc_2022[[#This Row],[procedure - forfait VdM II]]="n.v.t.",0,  Tabel_prc_2022[[#This Row],[procedure - aantal 0 punten]] * (Tabel_prc_2022[[#This Row],[procedure - forfait VdM II]] - Tabel_prc_2022[[#This Row],[procedure - forfait VdM I]]))</f>
        <v>3</v>
      </c>
      <c r="T3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50</v>
      </c>
      <c r="U3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150</v>
      </c>
      <c r="V33" s="109">
        <f>Tabel_prc_2022[[#This Row],[procedure - totaal extra punten toev. VdM II t.o.v. huidig]] * tarief_huidig</f>
        <v>22968.824999999997</v>
      </c>
    </row>
    <row r="34" spans="2:22" x14ac:dyDescent="0.3">
      <c r="B34" s="1" t="s">
        <v>32</v>
      </c>
      <c r="C34" s="34" t="s">
        <v>5</v>
      </c>
      <c r="D3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888</v>
      </c>
      <c r="E3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9162.7000000000007</v>
      </c>
      <c r="F34" s="91">
        <f>SUMIFS(Tabel_VAS2022[aantal_VAS],Tabel_VAS2022[Zaakcode],Tabel_prc_2022[[#This Row],[Zaakcode]],Tabel_VAS2022[Adviesofprocedure],"prc",Tabel_VAS2022[code_punten_forfait],10)</f>
        <v>5</v>
      </c>
      <c r="G34" s="92">
        <f>SUMIFS(Tabel_VAS2022[aantal_VAS],Tabel_VAS2022[Zaakcode],Tabel_prc_2022[[#This Row],[Zaakcode]],Tabel_VAS2022[Adviesofprocedure],"prc",Tabel_VAS2022[code_punten_forfait],11)</f>
        <v>526</v>
      </c>
      <c r="H34" s="92">
        <f>SUMIFS(Tabel_VAS2022[aantal_VAS],Tabel_VAS2022[Zaakcode],Tabel_prc_2022[[#This Row],[Zaakcode]],Tabel_VAS2022[Adviesofprocedure],"prc",Tabel_VAS2022[code_punten_forfait],13)</f>
        <v>65</v>
      </c>
      <c r="I34" s="92">
        <f>SUMIFS(Tabel_VAS2022[aantal_VAS],Tabel_VAS2022[Zaakcode],Tabel_prc_2022[[#This Row],[Zaakcode]],Tabel_VAS2022[Adviesofprocedure],"prc",Tabel_VAS2022[code_punten_forfait],14)</f>
        <v>1</v>
      </c>
      <c r="J34" s="92">
        <f>SUMIFS(Tabel_VAS2022[aantal_VAS],Tabel_VAS2022[Zaakcode],Tabel_prc_2022[[#This Row],[Zaakcode]],Tabel_VAS2022[Adviesofprocedure],"prc",Tabel_VAS2022[code_punten_forfait],12)</f>
        <v>255</v>
      </c>
      <c r="K34" s="92">
        <f>SUMIFS(Tabel_VAS2022[aantal_VAS],Tabel_VAS2022[Zaakcode],Tabel_prc_2022[[#This Row],[Zaakcode]],Tabel_VAS2022[Adviesofprocedure],"prc",Tabel_VAS2022[code_punten_forfait],15)</f>
        <v>36</v>
      </c>
      <c r="L34" s="92">
        <f>SUMIFS(Tabel_VAS2022[aantal_VAS],Tabel_VAS2022[Zaakcode],Tabel_prc_2022[[#This Row],[Zaakcode]],Tabel_VAS2022[Adviesofprocedure],"prc",Tabel_VAS2022[code_punten_forfait],16)</f>
        <v>0</v>
      </c>
      <c r="M34" s="35">
        <f>IFERROR(INDEX(Tabel_forfaits[forfait vanaf 2022],MATCH(Tabel_prc_2022[[#This Row],[Zaakcode]],Tabel_forfaits[Zaakcode],0)), "n.v.t.")</f>
        <v>15</v>
      </c>
      <c r="N34" s="35">
        <f>IFERROR(INDEX(Tabel_forfaits[forfait VdM II voor berekening],MATCH(Tabel_prc_2022[[#This Row],[Zaakcode]],Tabel_forfaits[Zaakcode],0)), "n.v.t.")</f>
        <v>18</v>
      </c>
      <c r="O34" s="36"/>
      <c r="P3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2343</v>
      </c>
      <c r="Q3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303</v>
      </c>
      <c r="R3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4.5</v>
      </c>
      <c r="S34" s="35">
        <f>IF(Tabel_prc_2022[[#This Row],[procedure - forfait VdM II]]="n.v.t.",0,  Tabel_prc_2022[[#This Row],[procedure - aantal 0 punten]] * (Tabel_prc_2022[[#This Row],[procedure - forfait VdM II]] - Tabel_prc_2022[[#This Row],[procedure - forfait VdM I]]))</f>
        <v>15</v>
      </c>
      <c r="T3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883</v>
      </c>
      <c r="U3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2650.5</v>
      </c>
      <c r="V34" s="109">
        <f>Tabel_prc_2022[[#This Row],[procedure - totaal extra punten toev. VdM II t.o.v. huidig]] * tarief_huidig</f>
        <v>405859.13774999999</v>
      </c>
    </row>
    <row r="35" spans="2:22" x14ac:dyDescent="0.3">
      <c r="B35" s="1" t="s">
        <v>33</v>
      </c>
      <c r="C35" s="34" t="s">
        <v>5</v>
      </c>
      <c r="D3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v>
      </c>
      <c r="E3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234</v>
      </c>
      <c r="F35" s="91">
        <f>SUMIFS(Tabel_VAS2022[aantal_VAS],Tabel_VAS2022[Zaakcode],Tabel_prc_2022[[#This Row],[Zaakcode]],Tabel_VAS2022[Adviesofprocedure],"prc",Tabel_VAS2022[code_punten_forfait],10)</f>
        <v>0</v>
      </c>
      <c r="G35" s="92">
        <f>SUMIFS(Tabel_VAS2022[aantal_VAS],Tabel_VAS2022[Zaakcode],Tabel_prc_2022[[#This Row],[Zaakcode]],Tabel_VAS2022[Adviesofprocedure],"prc",Tabel_VAS2022[code_punten_forfait],11)</f>
        <v>8</v>
      </c>
      <c r="H35" s="92">
        <f>SUMIFS(Tabel_VAS2022[aantal_VAS],Tabel_VAS2022[Zaakcode],Tabel_prc_2022[[#This Row],[Zaakcode]],Tabel_VAS2022[Adviesofprocedure],"prc",Tabel_VAS2022[code_punten_forfait],13)</f>
        <v>3</v>
      </c>
      <c r="I35" s="92">
        <f>SUMIFS(Tabel_VAS2022[aantal_VAS],Tabel_VAS2022[Zaakcode],Tabel_prc_2022[[#This Row],[Zaakcode]],Tabel_VAS2022[Adviesofprocedure],"prc",Tabel_VAS2022[code_punten_forfait],14)</f>
        <v>1</v>
      </c>
      <c r="J35" s="92">
        <f>SUMIFS(Tabel_VAS2022[aantal_VAS],Tabel_VAS2022[Zaakcode],Tabel_prc_2022[[#This Row],[Zaakcode]],Tabel_VAS2022[Adviesofprocedure],"prc",Tabel_VAS2022[code_punten_forfait],12)</f>
        <v>7</v>
      </c>
      <c r="K35" s="92">
        <f>SUMIFS(Tabel_VAS2022[aantal_VAS],Tabel_VAS2022[Zaakcode],Tabel_prc_2022[[#This Row],[Zaakcode]],Tabel_VAS2022[Adviesofprocedure],"prc",Tabel_VAS2022[code_punten_forfait],15)</f>
        <v>0</v>
      </c>
      <c r="L35" s="92">
        <f>SUMIFS(Tabel_VAS2022[aantal_VAS],Tabel_VAS2022[Zaakcode],Tabel_prc_2022[[#This Row],[Zaakcode]],Tabel_VAS2022[Adviesofprocedure],"prc",Tabel_VAS2022[code_punten_forfait],16)</f>
        <v>0</v>
      </c>
      <c r="M35" s="35">
        <f>IFERROR(INDEX(Tabel_forfaits[forfait vanaf 2022],MATCH(Tabel_prc_2022[[#This Row],[Zaakcode]],Tabel_forfaits[Zaakcode],0)), "n.v.t.")</f>
        <v>19</v>
      </c>
      <c r="N35" s="35">
        <f>IFERROR(INDEX(Tabel_forfaits[forfait VdM II voor berekening],MATCH(Tabel_prc_2022[[#This Row],[Zaakcode]],Tabel_forfaits[Zaakcode],0)), "n.v.t.")</f>
        <v>19</v>
      </c>
      <c r="O35" s="36"/>
      <c r="P3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5" s="35">
        <f>IF(Tabel_prc_2022[[#This Row],[procedure - forfait VdM II]]="n.v.t.",0,  Tabel_prc_2022[[#This Row],[procedure - aantal 0 punten]] * (Tabel_prc_2022[[#This Row],[procedure - forfait VdM II]] - Tabel_prc_2022[[#This Row],[procedure - forfait VdM I]]))</f>
        <v>0</v>
      </c>
      <c r="T3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v>
      </c>
      <c r="U3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5" s="109">
        <f>Tabel_prc_2022[[#This Row],[procedure - totaal extra punten toev. VdM II t.o.v. huidig]] * tarief_huidig</f>
        <v>0</v>
      </c>
    </row>
    <row r="36" spans="2:22" x14ac:dyDescent="0.3">
      <c r="B36" s="1" t="s">
        <v>34</v>
      </c>
      <c r="C36" s="34" t="s">
        <v>5</v>
      </c>
      <c r="D3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84</v>
      </c>
      <c r="E3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867.1</v>
      </c>
      <c r="F36" s="91">
        <f>SUMIFS(Tabel_VAS2022[aantal_VAS],Tabel_VAS2022[Zaakcode],Tabel_prc_2022[[#This Row],[Zaakcode]],Tabel_VAS2022[Adviesofprocedure],"prc",Tabel_VAS2022[code_punten_forfait],10)</f>
        <v>0</v>
      </c>
      <c r="G36" s="92">
        <f>SUMIFS(Tabel_VAS2022[aantal_VAS],Tabel_VAS2022[Zaakcode],Tabel_prc_2022[[#This Row],[Zaakcode]],Tabel_VAS2022[Adviesofprocedure],"prc",Tabel_VAS2022[code_punten_forfait],11)</f>
        <v>28</v>
      </c>
      <c r="H36" s="92">
        <f>SUMIFS(Tabel_VAS2022[aantal_VAS],Tabel_VAS2022[Zaakcode],Tabel_prc_2022[[#This Row],[Zaakcode]],Tabel_VAS2022[Adviesofprocedure],"prc",Tabel_VAS2022[code_punten_forfait],13)</f>
        <v>0</v>
      </c>
      <c r="I36" s="92">
        <f>SUMIFS(Tabel_VAS2022[aantal_VAS],Tabel_VAS2022[Zaakcode],Tabel_prc_2022[[#This Row],[Zaakcode]],Tabel_VAS2022[Adviesofprocedure],"prc",Tabel_VAS2022[code_punten_forfait],14)</f>
        <v>2</v>
      </c>
      <c r="J36" s="92">
        <f>SUMIFS(Tabel_VAS2022[aantal_VAS],Tabel_VAS2022[Zaakcode],Tabel_prc_2022[[#This Row],[Zaakcode]],Tabel_VAS2022[Adviesofprocedure],"prc",Tabel_VAS2022[code_punten_forfait],12)</f>
        <v>48</v>
      </c>
      <c r="K36" s="92">
        <f>SUMIFS(Tabel_VAS2022[aantal_VAS],Tabel_VAS2022[Zaakcode],Tabel_prc_2022[[#This Row],[Zaakcode]],Tabel_VAS2022[Adviesofprocedure],"prc",Tabel_VAS2022[code_punten_forfait],15)</f>
        <v>5</v>
      </c>
      <c r="L36" s="92">
        <f>SUMIFS(Tabel_VAS2022[aantal_VAS],Tabel_VAS2022[Zaakcode],Tabel_prc_2022[[#This Row],[Zaakcode]],Tabel_VAS2022[Adviesofprocedure],"prc",Tabel_VAS2022[code_punten_forfait],16)</f>
        <v>1</v>
      </c>
      <c r="M36" s="35">
        <f>IFERROR(INDEX(Tabel_forfaits[forfait vanaf 2022],MATCH(Tabel_prc_2022[[#This Row],[Zaakcode]],Tabel_forfaits[Zaakcode],0)), "n.v.t.")</f>
        <v>11</v>
      </c>
      <c r="N36" s="35">
        <f>IFERROR(INDEX(Tabel_forfaits[forfait VdM II voor berekening],MATCH(Tabel_prc_2022[[#This Row],[Zaakcode]],Tabel_forfaits[Zaakcode],0)), "n.v.t.")</f>
        <v>11</v>
      </c>
      <c r="O36" s="36"/>
      <c r="P3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6" s="35">
        <f>IF(Tabel_prc_2022[[#This Row],[procedure - forfait VdM II]]="n.v.t.",0,  Tabel_prc_2022[[#This Row],[procedure - aantal 0 punten]] * (Tabel_prc_2022[[#This Row],[procedure - forfait VdM II]] - Tabel_prc_2022[[#This Row],[procedure - forfait VdM I]]))</f>
        <v>0</v>
      </c>
      <c r="T3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84</v>
      </c>
      <c r="U3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6" s="109">
        <f>Tabel_prc_2022[[#This Row],[procedure - totaal extra punten toev. VdM II t.o.v. huidig]] * tarief_huidig</f>
        <v>0</v>
      </c>
    </row>
    <row r="37" spans="2:22" x14ac:dyDescent="0.3">
      <c r="B37" s="1" t="s">
        <v>35</v>
      </c>
      <c r="C37" s="34" t="s">
        <v>5</v>
      </c>
      <c r="D3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87</v>
      </c>
      <c r="E3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1132.0999999999999</v>
      </c>
      <c r="F37" s="91">
        <f>SUMIFS(Tabel_VAS2022[aantal_VAS],Tabel_VAS2022[Zaakcode],Tabel_prc_2022[[#This Row],[Zaakcode]],Tabel_VAS2022[Adviesofprocedure],"prc",Tabel_VAS2022[code_punten_forfait],10)</f>
        <v>0</v>
      </c>
      <c r="G37" s="92">
        <f>SUMIFS(Tabel_VAS2022[aantal_VAS],Tabel_VAS2022[Zaakcode],Tabel_prc_2022[[#This Row],[Zaakcode]],Tabel_VAS2022[Adviesofprocedure],"prc",Tabel_VAS2022[code_punten_forfait],11)</f>
        <v>43</v>
      </c>
      <c r="H37" s="92">
        <f>SUMIFS(Tabel_VAS2022[aantal_VAS],Tabel_VAS2022[Zaakcode],Tabel_prc_2022[[#This Row],[Zaakcode]],Tabel_VAS2022[Adviesofprocedure],"prc",Tabel_VAS2022[code_punten_forfait],13)</f>
        <v>2</v>
      </c>
      <c r="I37" s="92">
        <f>SUMIFS(Tabel_VAS2022[aantal_VAS],Tabel_VAS2022[Zaakcode],Tabel_prc_2022[[#This Row],[Zaakcode]],Tabel_VAS2022[Adviesofprocedure],"prc",Tabel_VAS2022[code_punten_forfait],14)</f>
        <v>1</v>
      </c>
      <c r="J37" s="92">
        <f>SUMIFS(Tabel_VAS2022[aantal_VAS],Tabel_VAS2022[Zaakcode],Tabel_prc_2022[[#This Row],[Zaakcode]],Tabel_VAS2022[Adviesofprocedure],"prc",Tabel_VAS2022[code_punten_forfait],12)</f>
        <v>32</v>
      </c>
      <c r="K37" s="92">
        <f>SUMIFS(Tabel_VAS2022[aantal_VAS],Tabel_VAS2022[Zaakcode],Tabel_prc_2022[[#This Row],[Zaakcode]],Tabel_VAS2022[Adviesofprocedure],"prc",Tabel_VAS2022[code_punten_forfait],15)</f>
        <v>8</v>
      </c>
      <c r="L37" s="92">
        <f>SUMIFS(Tabel_VAS2022[aantal_VAS],Tabel_VAS2022[Zaakcode],Tabel_prc_2022[[#This Row],[Zaakcode]],Tabel_VAS2022[Adviesofprocedure],"prc",Tabel_VAS2022[code_punten_forfait],16)</f>
        <v>1</v>
      </c>
      <c r="M37" s="35">
        <f>IFERROR(INDEX(Tabel_forfaits[forfait vanaf 2022],MATCH(Tabel_prc_2022[[#This Row],[Zaakcode]],Tabel_forfaits[Zaakcode],0)), "n.v.t.")</f>
        <v>16</v>
      </c>
      <c r="N37" s="35">
        <f>IFERROR(INDEX(Tabel_forfaits[forfait VdM II voor berekening],MATCH(Tabel_prc_2022[[#This Row],[Zaakcode]],Tabel_forfaits[Zaakcode],0)), "n.v.t.")</f>
        <v>17</v>
      </c>
      <c r="O37" s="36"/>
      <c r="P3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75</v>
      </c>
      <c r="Q3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10</v>
      </c>
      <c r="R3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37" s="35">
        <f>IF(Tabel_prc_2022[[#This Row],[procedure - forfait VdM II]]="n.v.t.",0,  Tabel_prc_2022[[#This Row],[procedure - aantal 0 punten]] * (Tabel_prc_2022[[#This Row],[procedure - forfait VdM II]] - Tabel_prc_2022[[#This Row],[procedure - forfait VdM I]]))</f>
        <v>0</v>
      </c>
      <c r="T3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87</v>
      </c>
      <c r="U3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88</v>
      </c>
      <c r="V37" s="109">
        <f>Tabel_prc_2022[[#This Row],[procedure - totaal extra punten toev. VdM II t.o.v. huidig]] * tarief_huidig</f>
        <v>13475.043999999998</v>
      </c>
    </row>
    <row r="38" spans="2:22" x14ac:dyDescent="0.3">
      <c r="B38" s="1" t="s">
        <v>36</v>
      </c>
      <c r="C38" s="34" t="s">
        <v>5</v>
      </c>
      <c r="D3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46</v>
      </c>
      <c r="E3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493</v>
      </c>
      <c r="F38" s="91">
        <f>SUMIFS(Tabel_VAS2022[aantal_VAS],Tabel_VAS2022[Zaakcode],Tabel_prc_2022[[#This Row],[Zaakcode]],Tabel_VAS2022[Adviesofprocedure],"prc",Tabel_VAS2022[code_punten_forfait],10)</f>
        <v>0</v>
      </c>
      <c r="G38" s="92">
        <f>SUMIFS(Tabel_VAS2022[aantal_VAS],Tabel_VAS2022[Zaakcode],Tabel_prc_2022[[#This Row],[Zaakcode]],Tabel_VAS2022[Adviesofprocedure],"prc",Tabel_VAS2022[code_punten_forfait],11)</f>
        <v>37</v>
      </c>
      <c r="H38" s="92">
        <f>SUMIFS(Tabel_VAS2022[aantal_VAS],Tabel_VAS2022[Zaakcode],Tabel_prc_2022[[#This Row],[Zaakcode]],Tabel_VAS2022[Adviesofprocedure],"prc",Tabel_VAS2022[code_punten_forfait],13)</f>
        <v>0</v>
      </c>
      <c r="I38" s="92">
        <f>SUMIFS(Tabel_VAS2022[aantal_VAS],Tabel_VAS2022[Zaakcode],Tabel_prc_2022[[#This Row],[Zaakcode]],Tabel_VAS2022[Adviesofprocedure],"prc",Tabel_VAS2022[code_punten_forfait],14)</f>
        <v>0</v>
      </c>
      <c r="J38" s="92">
        <f>SUMIFS(Tabel_VAS2022[aantal_VAS],Tabel_VAS2022[Zaakcode],Tabel_prc_2022[[#This Row],[Zaakcode]],Tabel_VAS2022[Adviesofprocedure],"prc",Tabel_VAS2022[code_punten_forfait],12)</f>
        <v>7</v>
      </c>
      <c r="K38" s="92">
        <f>SUMIFS(Tabel_VAS2022[aantal_VAS],Tabel_VAS2022[Zaakcode],Tabel_prc_2022[[#This Row],[Zaakcode]],Tabel_VAS2022[Adviesofprocedure],"prc",Tabel_VAS2022[code_punten_forfait],15)</f>
        <v>2</v>
      </c>
      <c r="L38" s="92">
        <f>SUMIFS(Tabel_VAS2022[aantal_VAS],Tabel_VAS2022[Zaakcode],Tabel_prc_2022[[#This Row],[Zaakcode]],Tabel_VAS2022[Adviesofprocedure],"prc",Tabel_VAS2022[code_punten_forfait],16)</f>
        <v>0</v>
      </c>
      <c r="M38" s="35">
        <f>IFERROR(INDEX(Tabel_forfaits[forfait vanaf 2022],MATCH(Tabel_prc_2022[[#This Row],[Zaakcode]],Tabel_forfaits[Zaakcode],0)), "n.v.t.")</f>
        <v>17</v>
      </c>
      <c r="N38" s="35">
        <f>IFERROR(INDEX(Tabel_forfaits[forfait VdM II voor berekening],MATCH(Tabel_prc_2022[[#This Row],[Zaakcode]],Tabel_forfaits[Zaakcode],0)), "n.v.t.")</f>
        <v>17</v>
      </c>
      <c r="O38" s="36"/>
      <c r="P3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8" s="35">
        <f>IF(Tabel_prc_2022[[#This Row],[procedure - forfait VdM II]]="n.v.t.",0,  Tabel_prc_2022[[#This Row],[procedure - aantal 0 punten]] * (Tabel_prc_2022[[#This Row],[procedure - forfait VdM II]] - Tabel_prc_2022[[#This Row],[procedure - forfait VdM I]]))</f>
        <v>0</v>
      </c>
      <c r="T3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46</v>
      </c>
      <c r="U3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8" s="109">
        <f>Tabel_prc_2022[[#This Row],[procedure - totaal extra punten toev. VdM II t.o.v. huidig]] * tarief_huidig</f>
        <v>0</v>
      </c>
    </row>
    <row r="39" spans="2:22" x14ac:dyDescent="0.3">
      <c r="B39" s="1" t="s">
        <v>37</v>
      </c>
      <c r="C39" s="34" t="s">
        <v>5</v>
      </c>
      <c r="D3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3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39" s="91">
        <f>SUMIFS(Tabel_VAS2022[aantal_VAS],Tabel_VAS2022[Zaakcode],Tabel_prc_2022[[#This Row],[Zaakcode]],Tabel_VAS2022[Adviesofprocedure],"prc",Tabel_VAS2022[code_punten_forfait],10)</f>
        <v>0</v>
      </c>
      <c r="G39" s="92">
        <f>SUMIFS(Tabel_VAS2022[aantal_VAS],Tabel_VAS2022[Zaakcode],Tabel_prc_2022[[#This Row],[Zaakcode]],Tabel_VAS2022[Adviesofprocedure],"prc",Tabel_VAS2022[code_punten_forfait],11)</f>
        <v>0</v>
      </c>
      <c r="H39" s="92">
        <f>SUMIFS(Tabel_VAS2022[aantal_VAS],Tabel_VAS2022[Zaakcode],Tabel_prc_2022[[#This Row],[Zaakcode]],Tabel_VAS2022[Adviesofprocedure],"prc",Tabel_VAS2022[code_punten_forfait],13)</f>
        <v>0</v>
      </c>
      <c r="I39" s="92">
        <f>SUMIFS(Tabel_VAS2022[aantal_VAS],Tabel_VAS2022[Zaakcode],Tabel_prc_2022[[#This Row],[Zaakcode]],Tabel_VAS2022[Adviesofprocedure],"prc",Tabel_VAS2022[code_punten_forfait],14)</f>
        <v>0</v>
      </c>
      <c r="J39" s="92">
        <f>SUMIFS(Tabel_VAS2022[aantal_VAS],Tabel_VAS2022[Zaakcode],Tabel_prc_2022[[#This Row],[Zaakcode]],Tabel_VAS2022[Adviesofprocedure],"prc",Tabel_VAS2022[code_punten_forfait],12)</f>
        <v>0</v>
      </c>
      <c r="K39" s="92">
        <f>SUMIFS(Tabel_VAS2022[aantal_VAS],Tabel_VAS2022[Zaakcode],Tabel_prc_2022[[#This Row],[Zaakcode]],Tabel_VAS2022[Adviesofprocedure],"prc",Tabel_VAS2022[code_punten_forfait],15)</f>
        <v>0</v>
      </c>
      <c r="L39" s="92">
        <f>SUMIFS(Tabel_VAS2022[aantal_VAS],Tabel_VAS2022[Zaakcode],Tabel_prc_2022[[#This Row],[Zaakcode]],Tabel_VAS2022[Adviesofprocedure],"prc",Tabel_VAS2022[code_punten_forfait],16)</f>
        <v>0</v>
      </c>
      <c r="M39" s="35" t="str">
        <f>IFERROR(INDEX(Tabel_forfaits[forfait vanaf 2022],MATCH(Tabel_prc_2022[[#This Row],[Zaakcode]],Tabel_forfaits[Zaakcode],0)), "n.v.t.")</f>
        <v>n.v.t.</v>
      </c>
      <c r="N39" s="35" t="str">
        <f>IFERROR(INDEX(Tabel_forfaits[forfait VdM II voor berekening],MATCH(Tabel_prc_2022[[#This Row],[Zaakcode]],Tabel_forfaits[Zaakcode],0)), "n.v.t.")</f>
        <v>n.v.t.</v>
      </c>
      <c r="O39" s="36"/>
      <c r="P3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3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3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39" s="35">
        <f>IF(Tabel_prc_2022[[#This Row],[procedure - forfait VdM II]]="n.v.t.",0,  Tabel_prc_2022[[#This Row],[procedure - aantal 0 punten]] * (Tabel_prc_2022[[#This Row],[procedure - forfait VdM II]] - Tabel_prc_2022[[#This Row],[procedure - forfait VdM I]]))</f>
        <v>0</v>
      </c>
      <c r="T3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3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39" s="109">
        <f>Tabel_prc_2022[[#This Row],[procedure - totaal extra punten toev. VdM II t.o.v. huidig]] * tarief_huidig</f>
        <v>0</v>
      </c>
    </row>
    <row r="40" spans="2:22" x14ac:dyDescent="0.3">
      <c r="B40" s="1" t="s">
        <v>417</v>
      </c>
      <c r="C40" s="34" t="s">
        <v>5</v>
      </c>
      <c r="D4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0" s="91">
        <f>SUMIFS(Tabel_VAS2022[aantal_VAS],Tabel_VAS2022[Zaakcode],Tabel_prc_2022[[#This Row],[Zaakcode]],Tabel_VAS2022[Adviesofprocedure],"prc",Tabel_VAS2022[code_punten_forfait],10)</f>
        <v>0</v>
      </c>
      <c r="G40" s="92">
        <f>SUMIFS(Tabel_VAS2022[aantal_VAS],Tabel_VAS2022[Zaakcode],Tabel_prc_2022[[#This Row],[Zaakcode]],Tabel_VAS2022[Adviesofprocedure],"prc",Tabel_VAS2022[code_punten_forfait],11)</f>
        <v>0</v>
      </c>
      <c r="H40" s="92">
        <f>SUMIFS(Tabel_VAS2022[aantal_VAS],Tabel_VAS2022[Zaakcode],Tabel_prc_2022[[#This Row],[Zaakcode]],Tabel_VAS2022[Adviesofprocedure],"prc",Tabel_VAS2022[code_punten_forfait],13)</f>
        <v>0</v>
      </c>
      <c r="I40" s="92">
        <f>SUMIFS(Tabel_VAS2022[aantal_VAS],Tabel_VAS2022[Zaakcode],Tabel_prc_2022[[#This Row],[Zaakcode]],Tabel_VAS2022[Adviesofprocedure],"prc",Tabel_VAS2022[code_punten_forfait],14)</f>
        <v>0</v>
      </c>
      <c r="J40" s="92">
        <f>SUMIFS(Tabel_VAS2022[aantal_VAS],Tabel_VAS2022[Zaakcode],Tabel_prc_2022[[#This Row],[Zaakcode]],Tabel_VAS2022[Adviesofprocedure],"prc",Tabel_VAS2022[code_punten_forfait],12)</f>
        <v>0</v>
      </c>
      <c r="K40" s="92">
        <f>SUMIFS(Tabel_VAS2022[aantal_VAS],Tabel_VAS2022[Zaakcode],Tabel_prc_2022[[#This Row],[Zaakcode]],Tabel_VAS2022[Adviesofprocedure],"prc",Tabel_VAS2022[code_punten_forfait],15)</f>
        <v>0</v>
      </c>
      <c r="L40" s="92">
        <f>SUMIFS(Tabel_VAS2022[aantal_VAS],Tabel_VAS2022[Zaakcode],Tabel_prc_2022[[#This Row],[Zaakcode]],Tabel_VAS2022[Adviesofprocedure],"prc",Tabel_VAS2022[code_punten_forfait],16)</f>
        <v>0</v>
      </c>
      <c r="M40" s="35" t="str">
        <f>IFERROR(INDEX(Tabel_forfaits[forfait vanaf 2022],MATCH(Tabel_prc_2022[[#This Row],[Zaakcode]],Tabel_forfaits[Zaakcode],0)), "n.v.t.")</f>
        <v>n.v.t.</v>
      </c>
      <c r="N40" s="35" t="str">
        <f>IFERROR(INDEX(Tabel_forfaits[forfait VdM II voor berekening],MATCH(Tabel_prc_2022[[#This Row],[Zaakcode]],Tabel_forfaits[Zaakcode],0)), "n.v.t.")</f>
        <v>n.v.t.</v>
      </c>
      <c r="O40" s="36"/>
      <c r="P4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0" s="35">
        <f>IF(Tabel_prc_2022[[#This Row],[procedure - forfait VdM II]]="n.v.t.",0,  Tabel_prc_2022[[#This Row],[procedure - aantal 0 punten]] * (Tabel_prc_2022[[#This Row],[procedure - forfait VdM II]] - Tabel_prc_2022[[#This Row],[procedure - forfait VdM I]]))</f>
        <v>0</v>
      </c>
      <c r="T4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0" s="109">
        <f>Tabel_prc_2022[[#This Row],[procedure - totaal extra punten toev. VdM II t.o.v. huidig]] * tarief_huidig</f>
        <v>0</v>
      </c>
    </row>
    <row r="41" spans="2:22" x14ac:dyDescent="0.3">
      <c r="B41" s="1" t="s">
        <v>38</v>
      </c>
      <c r="C41" s="34" t="s">
        <v>5</v>
      </c>
      <c r="D4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1" s="91">
        <f>SUMIFS(Tabel_VAS2022[aantal_VAS],Tabel_VAS2022[Zaakcode],Tabel_prc_2022[[#This Row],[Zaakcode]],Tabel_VAS2022[Adviesofprocedure],"prc",Tabel_VAS2022[code_punten_forfait],10)</f>
        <v>0</v>
      </c>
      <c r="G41" s="92">
        <f>SUMIFS(Tabel_VAS2022[aantal_VAS],Tabel_VAS2022[Zaakcode],Tabel_prc_2022[[#This Row],[Zaakcode]],Tabel_VAS2022[Adviesofprocedure],"prc",Tabel_VAS2022[code_punten_forfait],11)</f>
        <v>0</v>
      </c>
      <c r="H41" s="92">
        <f>SUMIFS(Tabel_VAS2022[aantal_VAS],Tabel_VAS2022[Zaakcode],Tabel_prc_2022[[#This Row],[Zaakcode]],Tabel_VAS2022[Adviesofprocedure],"prc",Tabel_VAS2022[code_punten_forfait],13)</f>
        <v>0</v>
      </c>
      <c r="I41" s="92">
        <f>SUMIFS(Tabel_VAS2022[aantal_VAS],Tabel_VAS2022[Zaakcode],Tabel_prc_2022[[#This Row],[Zaakcode]],Tabel_VAS2022[Adviesofprocedure],"prc",Tabel_VAS2022[code_punten_forfait],14)</f>
        <v>0</v>
      </c>
      <c r="J41" s="92">
        <f>SUMIFS(Tabel_VAS2022[aantal_VAS],Tabel_VAS2022[Zaakcode],Tabel_prc_2022[[#This Row],[Zaakcode]],Tabel_VAS2022[Adviesofprocedure],"prc",Tabel_VAS2022[code_punten_forfait],12)</f>
        <v>0</v>
      </c>
      <c r="K41" s="92">
        <f>SUMIFS(Tabel_VAS2022[aantal_VAS],Tabel_VAS2022[Zaakcode],Tabel_prc_2022[[#This Row],[Zaakcode]],Tabel_VAS2022[Adviesofprocedure],"prc",Tabel_VAS2022[code_punten_forfait],15)</f>
        <v>0</v>
      </c>
      <c r="L41" s="92">
        <f>SUMIFS(Tabel_VAS2022[aantal_VAS],Tabel_VAS2022[Zaakcode],Tabel_prc_2022[[#This Row],[Zaakcode]],Tabel_VAS2022[Adviesofprocedure],"prc",Tabel_VAS2022[code_punten_forfait],16)</f>
        <v>0</v>
      </c>
      <c r="M41" s="35" t="str">
        <f>IFERROR(INDEX(Tabel_forfaits[forfait vanaf 2022],MATCH(Tabel_prc_2022[[#This Row],[Zaakcode]],Tabel_forfaits[Zaakcode],0)), "n.v.t.")</f>
        <v>n.v.t.</v>
      </c>
      <c r="N41" s="35" t="str">
        <f>IFERROR(INDEX(Tabel_forfaits[forfait VdM II voor berekening],MATCH(Tabel_prc_2022[[#This Row],[Zaakcode]],Tabel_forfaits[Zaakcode],0)), "n.v.t.")</f>
        <v>n.v.t.</v>
      </c>
      <c r="O41" s="36"/>
      <c r="P4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1" s="35">
        <f>IF(Tabel_prc_2022[[#This Row],[procedure - forfait VdM II]]="n.v.t.",0,  Tabel_prc_2022[[#This Row],[procedure - aantal 0 punten]] * (Tabel_prc_2022[[#This Row],[procedure - forfait VdM II]] - Tabel_prc_2022[[#This Row],[procedure - forfait VdM I]]))</f>
        <v>0</v>
      </c>
      <c r="T4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1" s="109">
        <f>Tabel_prc_2022[[#This Row],[procedure - totaal extra punten toev. VdM II t.o.v. huidig]] * tarief_huidig</f>
        <v>0</v>
      </c>
    </row>
    <row r="42" spans="2:22" x14ac:dyDescent="0.3">
      <c r="B42" s="1" t="s">
        <v>418</v>
      </c>
      <c r="C42" s="34" t="s">
        <v>5</v>
      </c>
      <c r="D4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2" s="91">
        <f>SUMIFS(Tabel_VAS2022[aantal_VAS],Tabel_VAS2022[Zaakcode],Tabel_prc_2022[[#This Row],[Zaakcode]],Tabel_VAS2022[Adviesofprocedure],"prc",Tabel_VAS2022[code_punten_forfait],10)</f>
        <v>0</v>
      </c>
      <c r="G42" s="92">
        <f>SUMIFS(Tabel_VAS2022[aantal_VAS],Tabel_VAS2022[Zaakcode],Tabel_prc_2022[[#This Row],[Zaakcode]],Tabel_VAS2022[Adviesofprocedure],"prc",Tabel_VAS2022[code_punten_forfait],11)</f>
        <v>0</v>
      </c>
      <c r="H42" s="92">
        <f>SUMIFS(Tabel_VAS2022[aantal_VAS],Tabel_VAS2022[Zaakcode],Tabel_prc_2022[[#This Row],[Zaakcode]],Tabel_VAS2022[Adviesofprocedure],"prc",Tabel_VAS2022[code_punten_forfait],13)</f>
        <v>0</v>
      </c>
      <c r="I42" s="92">
        <f>SUMIFS(Tabel_VAS2022[aantal_VAS],Tabel_VAS2022[Zaakcode],Tabel_prc_2022[[#This Row],[Zaakcode]],Tabel_VAS2022[Adviesofprocedure],"prc",Tabel_VAS2022[code_punten_forfait],14)</f>
        <v>0</v>
      </c>
      <c r="J42" s="92">
        <f>SUMIFS(Tabel_VAS2022[aantal_VAS],Tabel_VAS2022[Zaakcode],Tabel_prc_2022[[#This Row],[Zaakcode]],Tabel_VAS2022[Adviesofprocedure],"prc",Tabel_VAS2022[code_punten_forfait],12)</f>
        <v>0</v>
      </c>
      <c r="K42" s="92">
        <f>SUMIFS(Tabel_VAS2022[aantal_VAS],Tabel_VAS2022[Zaakcode],Tabel_prc_2022[[#This Row],[Zaakcode]],Tabel_VAS2022[Adviesofprocedure],"prc",Tabel_VAS2022[code_punten_forfait],15)</f>
        <v>0</v>
      </c>
      <c r="L42" s="92">
        <f>SUMIFS(Tabel_VAS2022[aantal_VAS],Tabel_VAS2022[Zaakcode],Tabel_prc_2022[[#This Row],[Zaakcode]],Tabel_VAS2022[Adviesofprocedure],"prc",Tabel_VAS2022[code_punten_forfait],16)</f>
        <v>0</v>
      </c>
      <c r="M42" s="35" t="str">
        <f>IFERROR(INDEX(Tabel_forfaits[forfait vanaf 2022],MATCH(Tabel_prc_2022[[#This Row],[Zaakcode]],Tabel_forfaits[Zaakcode],0)), "n.v.t.")</f>
        <v>n.v.t.</v>
      </c>
      <c r="N42" s="35" t="str">
        <f>IFERROR(INDEX(Tabel_forfaits[forfait VdM II voor berekening],MATCH(Tabel_prc_2022[[#This Row],[Zaakcode]],Tabel_forfaits[Zaakcode],0)), "n.v.t.")</f>
        <v>n.v.t.</v>
      </c>
      <c r="O42" s="36"/>
      <c r="P4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2" s="35">
        <f>IF(Tabel_prc_2022[[#This Row],[procedure - forfait VdM II]]="n.v.t.",0,  Tabel_prc_2022[[#This Row],[procedure - aantal 0 punten]] * (Tabel_prc_2022[[#This Row],[procedure - forfait VdM II]] - Tabel_prc_2022[[#This Row],[procedure - forfait VdM I]]))</f>
        <v>0</v>
      </c>
      <c r="T4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2" s="109">
        <f>Tabel_prc_2022[[#This Row],[procedure - totaal extra punten toev. VdM II t.o.v. huidig]] * tarief_huidig</f>
        <v>0</v>
      </c>
    </row>
    <row r="43" spans="2:22" x14ac:dyDescent="0.3">
      <c r="B43" s="1" t="s">
        <v>419</v>
      </c>
      <c r="C43" s="34" t="s">
        <v>5</v>
      </c>
      <c r="D4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3" s="91">
        <f>SUMIFS(Tabel_VAS2022[aantal_VAS],Tabel_VAS2022[Zaakcode],Tabel_prc_2022[[#This Row],[Zaakcode]],Tabel_VAS2022[Adviesofprocedure],"prc",Tabel_VAS2022[code_punten_forfait],10)</f>
        <v>0</v>
      </c>
      <c r="G43" s="92">
        <f>SUMIFS(Tabel_VAS2022[aantal_VAS],Tabel_VAS2022[Zaakcode],Tabel_prc_2022[[#This Row],[Zaakcode]],Tabel_VAS2022[Adviesofprocedure],"prc",Tabel_VAS2022[code_punten_forfait],11)</f>
        <v>0</v>
      </c>
      <c r="H43" s="92">
        <f>SUMIFS(Tabel_VAS2022[aantal_VAS],Tabel_VAS2022[Zaakcode],Tabel_prc_2022[[#This Row],[Zaakcode]],Tabel_VAS2022[Adviesofprocedure],"prc",Tabel_VAS2022[code_punten_forfait],13)</f>
        <v>0</v>
      </c>
      <c r="I43" s="92">
        <f>SUMIFS(Tabel_VAS2022[aantal_VAS],Tabel_VAS2022[Zaakcode],Tabel_prc_2022[[#This Row],[Zaakcode]],Tabel_VAS2022[Adviesofprocedure],"prc",Tabel_VAS2022[code_punten_forfait],14)</f>
        <v>0</v>
      </c>
      <c r="J43" s="92">
        <f>SUMIFS(Tabel_VAS2022[aantal_VAS],Tabel_VAS2022[Zaakcode],Tabel_prc_2022[[#This Row],[Zaakcode]],Tabel_VAS2022[Adviesofprocedure],"prc",Tabel_VAS2022[code_punten_forfait],12)</f>
        <v>0</v>
      </c>
      <c r="K43" s="92">
        <f>SUMIFS(Tabel_VAS2022[aantal_VAS],Tabel_VAS2022[Zaakcode],Tabel_prc_2022[[#This Row],[Zaakcode]],Tabel_VAS2022[Adviesofprocedure],"prc",Tabel_VAS2022[code_punten_forfait],15)</f>
        <v>0</v>
      </c>
      <c r="L43" s="92">
        <f>SUMIFS(Tabel_VAS2022[aantal_VAS],Tabel_VAS2022[Zaakcode],Tabel_prc_2022[[#This Row],[Zaakcode]],Tabel_VAS2022[Adviesofprocedure],"prc",Tabel_VAS2022[code_punten_forfait],16)</f>
        <v>0</v>
      </c>
      <c r="M43" s="35" t="str">
        <f>IFERROR(INDEX(Tabel_forfaits[forfait vanaf 2022],MATCH(Tabel_prc_2022[[#This Row],[Zaakcode]],Tabel_forfaits[Zaakcode],0)), "n.v.t.")</f>
        <v>n.v.t.</v>
      </c>
      <c r="N43" s="35" t="str">
        <f>IFERROR(INDEX(Tabel_forfaits[forfait VdM II voor berekening],MATCH(Tabel_prc_2022[[#This Row],[Zaakcode]],Tabel_forfaits[Zaakcode],0)), "n.v.t.")</f>
        <v>n.v.t.</v>
      </c>
      <c r="O43" s="36"/>
      <c r="P4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3" s="35">
        <f>IF(Tabel_prc_2022[[#This Row],[procedure - forfait VdM II]]="n.v.t.",0,  Tabel_prc_2022[[#This Row],[procedure - aantal 0 punten]] * (Tabel_prc_2022[[#This Row],[procedure - forfait VdM II]] - Tabel_prc_2022[[#This Row],[procedure - forfait VdM I]]))</f>
        <v>0</v>
      </c>
      <c r="T4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3" s="109">
        <f>Tabel_prc_2022[[#This Row],[procedure - totaal extra punten toev. VdM II t.o.v. huidig]] * tarief_huidig</f>
        <v>0</v>
      </c>
    </row>
    <row r="44" spans="2:22" x14ac:dyDescent="0.3">
      <c r="B44" s="1" t="s">
        <v>39</v>
      </c>
      <c r="C44" s="34" t="s">
        <v>5</v>
      </c>
      <c r="D4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4" s="91">
        <f>SUMIFS(Tabel_VAS2022[aantal_VAS],Tabel_VAS2022[Zaakcode],Tabel_prc_2022[[#This Row],[Zaakcode]],Tabel_VAS2022[Adviesofprocedure],"prc",Tabel_VAS2022[code_punten_forfait],10)</f>
        <v>0</v>
      </c>
      <c r="G44" s="92">
        <f>SUMIFS(Tabel_VAS2022[aantal_VAS],Tabel_VAS2022[Zaakcode],Tabel_prc_2022[[#This Row],[Zaakcode]],Tabel_VAS2022[Adviesofprocedure],"prc",Tabel_VAS2022[code_punten_forfait],11)</f>
        <v>0</v>
      </c>
      <c r="H44" s="92">
        <f>SUMIFS(Tabel_VAS2022[aantal_VAS],Tabel_VAS2022[Zaakcode],Tabel_prc_2022[[#This Row],[Zaakcode]],Tabel_VAS2022[Adviesofprocedure],"prc",Tabel_VAS2022[code_punten_forfait],13)</f>
        <v>0</v>
      </c>
      <c r="I44" s="92">
        <f>SUMIFS(Tabel_VAS2022[aantal_VAS],Tabel_VAS2022[Zaakcode],Tabel_prc_2022[[#This Row],[Zaakcode]],Tabel_VAS2022[Adviesofprocedure],"prc",Tabel_VAS2022[code_punten_forfait],14)</f>
        <v>0</v>
      </c>
      <c r="J44" s="92">
        <f>SUMIFS(Tabel_VAS2022[aantal_VAS],Tabel_VAS2022[Zaakcode],Tabel_prc_2022[[#This Row],[Zaakcode]],Tabel_VAS2022[Adviesofprocedure],"prc",Tabel_VAS2022[code_punten_forfait],12)</f>
        <v>0</v>
      </c>
      <c r="K44" s="92">
        <f>SUMIFS(Tabel_VAS2022[aantal_VAS],Tabel_VAS2022[Zaakcode],Tabel_prc_2022[[#This Row],[Zaakcode]],Tabel_VAS2022[Adviesofprocedure],"prc",Tabel_VAS2022[code_punten_forfait],15)</f>
        <v>0</v>
      </c>
      <c r="L44" s="92">
        <f>SUMIFS(Tabel_VAS2022[aantal_VAS],Tabel_VAS2022[Zaakcode],Tabel_prc_2022[[#This Row],[Zaakcode]],Tabel_VAS2022[Adviesofprocedure],"prc",Tabel_VAS2022[code_punten_forfait],16)</f>
        <v>0</v>
      </c>
      <c r="M44" s="35" t="str">
        <f>IFERROR(INDEX(Tabel_forfaits[forfait vanaf 2022],MATCH(Tabel_prc_2022[[#This Row],[Zaakcode]],Tabel_forfaits[Zaakcode],0)), "n.v.t.")</f>
        <v>n.v.t.</v>
      </c>
      <c r="N44" s="35" t="str">
        <f>IFERROR(INDEX(Tabel_forfaits[forfait VdM II voor berekening],MATCH(Tabel_prc_2022[[#This Row],[Zaakcode]],Tabel_forfaits[Zaakcode],0)), "n.v.t.")</f>
        <v>n.v.t.</v>
      </c>
      <c r="O44" s="36"/>
      <c r="P4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4" s="35">
        <f>IF(Tabel_prc_2022[[#This Row],[procedure - forfait VdM II]]="n.v.t.",0,  Tabel_prc_2022[[#This Row],[procedure - aantal 0 punten]] * (Tabel_prc_2022[[#This Row],[procedure - forfait VdM II]] - Tabel_prc_2022[[#This Row],[procedure - forfait VdM I]]))</f>
        <v>0</v>
      </c>
      <c r="T4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4" s="109">
        <f>Tabel_prc_2022[[#This Row],[procedure - totaal extra punten toev. VdM II t.o.v. huidig]] * tarief_huidig</f>
        <v>0</v>
      </c>
    </row>
    <row r="45" spans="2:22" x14ac:dyDescent="0.3">
      <c r="B45" s="1" t="s">
        <v>40</v>
      </c>
      <c r="C45" s="34" t="s">
        <v>5</v>
      </c>
      <c r="D4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5" s="91">
        <f>SUMIFS(Tabel_VAS2022[aantal_VAS],Tabel_VAS2022[Zaakcode],Tabel_prc_2022[[#This Row],[Zaakcode]],Tabel_VAS2022[Adviesofprocedure],"prc",Tabel_VAS2022[code_punten_forfait],10)</f>
        <v>0</v>
      </c>
      <c r="G45" s="92">
        <f>SUMIFS(Tabel_VAS2022[aantal_VAS],Tabel_VAS2022[Zaakcode],Tabel_prc_2022[[#This Row],[Zaakcode]],Tabel_VAS2022[Adviesofprocedure],"prc",Tabel_VAS2022[code_punten_forfait],11)</f>
        <v>0</v>
      </c>
      <c r="H45" s="92">
        <f>SUMIFS(Tabel_VAS2022[aantal_VAS],Tabel_VAS2022[Zaakcode],Tabel_prc_2022[[#This Row],[Zaakcode]],Tabel_VAS2022[Adviesofprocedure],"prc",Tabel_VAS2022[code_punten_forfait],13)</f>
        <v>0</v>
      </c>
      <c r="I45" s="92">
        <f>SUMIFS(Tabel_VAS2022[aantal_VAS],Tabel_VAS2022[Zaakcode],Tabel_prc_2022[[#This Row],[Zaakcode]],Tabel_VAS2022[Adviesofprocedure],"prc",Tabel_VAS2022[code_punten_forfait],14)</f>
        <v>0</v>
      </c>
      <c r="J45" s="92">
        <f>SUMIFS(Tabel_VAS2022[aantal_VAS],Tabel_VAS2022[Zaakcode],Tabel_prc_2022[[#This Row],[Zaakcode]],Tabel_VAS2022[Adviesofprocedure],"prc",Tabel_VAS2022[code_punten_forfait],12)</f>
        <v>0</v>
      </c>
      <c r="K45" s="92">
        <f>SUMIFS(Tabel_VAS2022[aantal_VAS],Tabel_VAS2022[Zaakcode],Tabel_prc_2022[[#This Row],[Zaakcode]],Tabel_VAS2022[Adviesofprocedure],"prc",Tabel_VAS2022[code_punten_forfait],15)</f>
        <v>0</v>
      </c>
      <c r="L45" s="92">
        <f>SUMIFS(Tabel_VAS2022[aantal_VAS],Tabel_VAS2022[Zaakcode],Tabel_prc_2022[[#This Row],[Zaakcode]],Tabel_VAS2022[Adviesofprocedure],"prc",Tabel_VAS2022[code_punten_forfait],16)</f>
        <v>0</v>
      </c>
      <c r="M45" s="35" t="str">
        <f>IFERROR(INDEX(Tabel_forfaits[forfait vanaf 2022],MATCH(Tabel_prc_2022[[#This Row],[Zaakcode]],Tabel_forfaits[Zaakcode],0)), "n.v.t.")</f>
        <v>n.v.t.</v>
      </c>
      <c r="N45" s="35" t="str">
        <f>IFERROR(INDEX(Tabel_forfaits[forfait VdM II voor berekening],MATCH(Tabel_prc_2022[[#This Row],[Zaakcode]],Tabel_forfaits[Zaakcode],0)), "n.v.t.")</f>
        <v>n.v.t.</v>
      </c>
      <c r="O45" s="36"/>
      <c r="P4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5" s="35">
        <f>IF(Tabel_prc_2022[[#This Row],[procedure - forfait VdM II]]="n.v.t.",0,  Tabel_prc_2022[[#This Row],[procedure - aantal 0 punten]] * (Tabel_prc_2022[[#This Row],[procedure - forfait VdM II]] - Tabel_prc_2022[[#This Row],[procedure - forfait VdM I]]))</f>
        <v>0</v>
      </c>
      <c r="T4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5" s="109">
        <f>Tabel_prc_2022[[#This Row],[procedure - totaal extra punten toev. VdM II t.o.v. huidig]] * tarief_huidig</f>
        <v>0</v>
      </c>
    </row>
    <row r="46" spans="2:22" x14ac:dyDescent="0.3">
      <c r="B46" s="1" t="s">
        <v>420</v>
      </c>
      <c r="C46" s="34" t="s">
        <v>5</v>
      </c>
      <c r="D4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6" s="91">
        <f>SUMIFS(Tabel_VAS2022[aantal_VAS],Tabel_VAS2022[Zaakcode],Tabel_prc_2022[[#This Row],[Zaakcode]],Tabel_VAS2022[Adviesofprocedure],"prc",Tabel_VAS2022[code_punten_forfait],10)</f>
        <v>0</v>
      </c>
      <c r="G46" s="92">
        <f>SUMIFS(Tabel_VAS2022[aantal_VAS],Tabel_VAS2022[Zaakcode],Tabel_prc_2022[[#This Row],[Zaakcode]],Tabel_VAS2022[Adviesofprocedure],"prc",Tabel_VAS2022[code_punten_forfait],11)</f>
        <v>0</v>
      </c>
      <c r="H46" s="92">
        <f>SUMIFS(Tabel_VAS2022[aantal_VAS],Tabel_VAS2022[Zaakcode],Tabel_prc_2022[[#This Row],[Zaakcode]],Tabel_VAS2022[Adviesofprocedure],"prc",Tabel_VAS2022[code_punten_forfait],13)</f>
        <v>0</v>
      </c>
      <c r="I46" s="92">
        <f>SUMIFS(Tabel_VAS2022[aantal_VAS],Tabel_VAS2022[Zaakcode],Tabel_prc_2022[[#This Row],[Zaakcode]],Tabel_VAS2022[Adviesofprocedure],"prc",Tabel_VAS2022[code_punten_forfait],14)</f>
        <v>0</v>
      </c>
      <c r="J46" s="92">
        <f>SUMIFS(Tabel_VAS2022[aantal_VAS],Tabel_VAS2022[Zaakcode],Tabel_prc_2022[[#This Row],[Zaakcode]],Tabel_VAS2022[Adviesofprocedure],"prc",Tabel_VAS2022[code_punten_forfait],12)</f>
        <v>0</v>
      </c>
      <c r="K46" s="92">
        <f>SUMIFS(Tabel_VAS2022[aantal_VAS],Tabel_VAS2022[Zaakcode],Tabel_prc_2022[[#This Row],[Zaakcode]],Tabel_VAS2022[Adviesofprocedure],"prc",Tabel_VAS2022[code_punten_forfait],15)</f>
        <v>0</v>
      </c>
      <c r="L46" s="92">
        <f>SUMIFS(Tabel_VAS2022[aantal_VAS],Tabel_VAS2022[Zaakcode],Tabel_prc_2022[[#This Row],[Zaakcode]],Tabel_VAS2022[Adviesofprocedure],"prc",Tabel_VAS2022[code_punten_forfait],16)</f>
        <v>0</v>
      </c>
      <c r="M46" s="35" t="str">
        <f>IFERROR(INDEX(Tabel_forfaits[forfait vanaf 2022],MATCH(Tabel_prc_2022[[#This Row],[Zaakcode]],Tabel_forfaits[Zaakcode],0)), "n.v.t.")</f>
        <v>n.v.t.</v>
      </c>
      <c r="N46" s="35" t="str">
        <f>IFERROR(INDEX(Tabel_forfaits[forfait VdM II voor berekening],MATCH(Tabel_prc_2022[[#This Row],[Zaakcode]],Tabel_forfaits[Zaakcode],0)), "n.v.t.")</f>
        <v>n.v.t.</v>
      </c>
      <c r="O46" s="36"/>
      <c r="P4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6" s="35">
        <f>IF(Tabel_prc_2022[[#This Row],[procedure - forfait VdM II]]="n.v.t.",0,  Tabel_prc_2022[[#This Row],[procedure - aantal 0 punten]] * (Tabel_prc_2022[[#This Row],[procedure - forfait VdM II]] - Tabel_prc_2022[[#This Row],[procedure - forfait VdM I]]))</f>
        <v>0</v>
      </c>
      <c r="T4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6" s="109">
        <f>Tabel_prc_2022[[#This Row],[procedure - totaal extra punten toev. VdM II t.o.v. huidig]] * tarief_huidig</f>
        <v>0</v>
      </c>
    </row>
    <row r="47" spans="2:22" x14ac:dyDescent="0.3">
      <c r="B47" s="1" t="s">
        <v>41</v>
      </c>
      <c r="C47" s="34" t="s">
        <v>5</v>
      </c>
      <c r="D4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7" s="91">
        <f>SUMIFS(Tabel_VAS2022[aantal_VAS],Tabel_VAS2022[Zaakcode],Tabel_prc_2022[[#This Row],[Zaakcode]],Tabel_VAS2022[Adviesofprocedure],"prc",Tabel_VAS2022[code_punten_forfait],10)</f>
        <v>0</v>
      </c>
      <c r="G47" s="92">
        <f>SUMIFS(Tabel_VAS2022[aantal_VAS],Tabel_VAS2022[Zaakcode],Tabel_prc_2022[[#This Row],[Zaakcode]],Tabel_VAS2022[Adviesofprocedure],"prc",Tabel_VAS2022[code_punten_forfait],11)</f>
        <v>0</v>
      </c>
      <c r="H47" s="92">
        <f>SUMIFS(Tabel_VAS2022[aantal_VAS],Tabel_VAS2022[Zaakcode],Tabel_prc_2022[[#This Row],[Zaakcode]],Tabel_VAS2022[Adviesofprocedure],"prc",Tabel_VAS2022[code_punten_forfait],13)</f>
        <v>0</v>
      </c>
      <c r="I47" s="92">
        <f>SUMIFS(Tabel_VAS2022[aantal_VAS],Tabel_VAS2022[Zaakcode],Tabel_prc_2022[[#This Row],[Zaakcode]],Tabel_VAS2022[Adviesofprocedure],"prc",Tabel_VAS2022[code_punten_forfait],14)</f>
        <v>0</v>
      </c>
      <c r="J47" s="92">
        <f>SUMIFS(Tabel_VAS2022[aantal_VAS],Tabel_VAS2022[Zaakcode],Tabel_prc_2022[[#This Row],[Zaakcode]],Tabel_VAS2022[Adviesofprocedure],"prc",Tabel_VAS2022[code_punten_forfait],12)</f>
        <v>0</v>
      </c>
      <c r="K47" s="92">
        <f>SUMIFS(Tabel_VAS2022[aantal_VAS],Tabel_VAS2022[Zaakcode],Tabel_prc_2022[[#This Row],[Zaakcode]],Tabel_VAS2022[Adviesofprocedure],"prc",Tabel_VAS2022[code_punten_forfait],15)</f>
        <v>0</v>
      </c>
      <c r="L47" s="92">
        <f>SUMIFS(Tabel_VAS2022[aantal_VAS],Tabel_VAS2022[Zaakcode],Tabel_prc_2022[[#This Row],[Zaakcode]],Tabel_VAS2022[Adviesofprocedure],"prc",Tabel_VAS2022[code_punten_forfait],16)</f>
        <v>0</v>
      </c>
      <c r="M47" s="35" t="str">
        <f>IFERROR(INDEX(Tabel_forfaits[forfait vanaf 2022],MATCH(Tabel_prc_2022[[#This Row],[Zaakcode]],Tabel_forfaits[Zaakcode],0)), "n.v.t.")</f>
        <v>n.v.t.</v>
      </c>
      <c r="N47" s="35" t="str">
        <f>IFERROR(INDEX(Tabel_forfaits[forfait VdM II voor berekening],MATCH(Tabel_prc_2022[[#This Row],[Zaakcode]],Tabel_forfaits[Zaakcode],0)), "n.v.t.")</f>
        <v>n.v.t.</v>
      </c>
      <c r="O47" s="36"/>
      <c r="P4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7" s="35">
        <f>IF(Tabel_prc_2022[[#This Row],[procedure - forfait VdM II]]="n.v.t.",0,  Tabel_prc_2022[[#This Row],[procedure - aantal 0 punten]] * (Tabel_prc_2022[[#This Row],[procedure - forfait VdM II]] - Tabel_prc_2022[[#This Row],[procedure - forfait VdM I]]))</f>
        <v>0</v>
      </c>
      <c r="T4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7" s="109">
        <f>Tabel_prc_2022[[#This Row],[procedure - totaal extra punten toev. VdM II t.o.v. huidig]] * tarief_huidig</f>
        <v>0</v>
      </c>
    </row>
    <row r="48" spans="2:22" x14ac:dyDescent="0.3">
      <c r="B48" s="1" t="s">
        <v>42</v>
      </c>
      <c r="C48" s="34" t="s">
        <v>5</v>
      </c>
      <c r="D4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8" s="91">
        <f>SUMIFS(Tabel_VAS2022[aantal_VAS],Tabel_VAS2022[Zaakcode],Tabel_prc_2022[[#This Row],[Zaakcode]],Tabel_VAS2022[Adviesofprocedure],"prc",Tabel_VAS2022[code_punten_forfait],10)</f>
        <v>0</v>
      </c>
      <c r="G48" s="92">
        <f>SUMIFS(Tabel_VAS2022[aantal_VAS],Tabel_VAS2022[Zaakcode],Tabel_prc_2022[[#This Row],[Zaakcode]],Tabel_VAS2022[Adviesofprocedure],"prc",Tabel_VAS2022[code_punten_forfait],11)</f>
        <v>0</v>
      </c>
      <c r="H48" s="92">
        <f>SUMIFS(Tabel_VAS2022[aantal_VAS],Tabel_VAS2022[Zaakcode],Tabel_prc_2022[[#This Row],[Zaakcode]],Tabel_VAS2022[Adviesofprocedure],"prc",Tabel_VAS2022[code_punten_forfait],13)</f>
        <v>0</v>
      </c>
      <c r="I48" s="92">
        <f>SUMIFS(Tabel_VAS2022[aantal_VAS],Tabel_VAS2022[Zaakcode],Tabel_prc_2022[[#This Row],[Zaakcode]],Tabel_VAS2022[Adviesofprocedure],"prc",Tabel_VAS2022[code_punten_forfait],14)</f>
        <v>0</v>
      </c>
      <c r="J48" s="92">
        <f>SUMIFS(Tabel_VAS2022[aantal_VAS],Tabel_VAS2022[Zaakcode],Tabel_prc_2022[[#This Row],[Zaakcode]],Tabel_VAS2022[Adviesofprocedure],"prc",Tabel_VAS2022[code_punten_forfait],12)</f>
        <v>0</v>
      </c>
      <c r="K48" s="92">
        <f>SUMIFS(Tabel_VAS2022[aantal_VAS],Tabel_VAS2022[Zaakcode],Tabel_prc_2022[[#This Row],[Zaakcode]],Tabel_VAS2022[Adviesofprocedure],"prc",Tabel_VAS2022[code_punten_forfait],15)</f>
        <v>0</v>
      </c>
      <c r="L48" s="92">
        <f>SUMIFS(Tabel_VAS2022[aantal_VAS],Tabel_VAS2022[Zaakcode],Tabel_prc_2022[[#This Row],[Zaakcode]],Tabel_VAS2022[Adviesofprocedure],"prc",Tabel_VAS2022[code_punten_forfait],16)</f>
        <v>0</v>
      </c>
      <c r="M48" s="35" t="str">
        <f>IFERROR(INDEX(Tabel_forfaits[forfait vanaf 2022],MATCH(Tabel_prc_2022[[#This Row],[Zaakcode]],Tabel_forfaits[Zaakcode],0)), "n.v.t.")</f>
        <v>n.v.t.</v>
      </c>
      <c r="N48" s="35" t="str">
        <f>IFERROR(INDEX(Tabel_forfaits[forfait VdM II voor berekening],MATCH(Tabel_prc_2022[[#This Row],[Zaakcode]],Tabel_forfaits[Zaakcode],0)), "n.v.t.")</f>
        <v>n.v.t.</v>
      </c>
      <c r="O48" s="36"/>
      <c r="P4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8" s="35">
        <f>IF(Tabel_prc_2022[[#This Row],[procedure - forfait VdM II]]="n.v.t.",0,  Tabel_prc_2022[[#This Row],[procedure - aantal 0 punten]] * (Tabel_prc_2022[[#This Row],[procedure - forfait VdM II]] - Tabel_prc_2022[[#This Row],[procedure - forfait VdM I]]))</f>
        <v>0</v>
      </c>
      <c r="T4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8" s="109">
        <f>Tabel_prc_2022[[#This Row],[procedure - totaal extra punten toev. VdM II t.o.v. huidig]] * tarief_huidig</f>
        <v>0</v>
      </c>
    </row>
    <row r="49" spans="2:22" x14ac:dyDescent="0.3">
      <c r="B49" s="1" t="s">
        <v>43</v>
      </c>
      <c r="C49" s="34" t="s">
        <v>5</v>
      </c>
      <c r="D4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4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49" s="91">
        <f>SUMIFS(Tabel_VAS2022[aantal_VAS],Tabel_VAS2022[Zaakcode],Tabel_prc_2022[[#This Row],[Zaakcode]],Tabel_VAS2022[Adviesofprocedure],"prc",Tabel_VAS2022[code_punten_forfait],10)</f>
        <v>0</v>
      </c>
      <c r="G49" s="92">
        <f>SUMIFS(Tabel_VAS2022[aantal_VAS],Tabel_VAS2022[Zaakcode],Tabel_prc_2022[[#This Row],[Zaakcode]],Tabel_VAS2022[Adviesofprocedure],"prc",Tabel_VAS2022[code_punten_forfait],11)</f>
        <v>0</v>
      </c>
      <c r="H49" s="92">
        <f>SUMIFS(Tabel_VAS2022[aantal_VAS],Tabel_VAS2022[Zaakcode],Tabel_prc_2022[[#This Row],[Zaakcode]],Tabel_VAS2022[Adviesofprocedure],"prc",Tabel_VAS2022[code_punten_forfait],13)</f>
        <v>0</v>
      </c>
      <c r="I49" s="92">
        <f>SUMIFS(Tabel_VAS2022[aantal_VAS],Tabel_VAS2022[Zaakcode],Tabel_prc_2022[[#This Row],[Zaakcode]],Tabel_VAS2022[Adviesofprocedure],"prc",Tabel_VAS2022[code_punten_forfait],14)</f>
        <v>0</v>
      </c>
      <c r="J49" s="92">
        <f>SUMIFS(Tabel_VAS2022[aantal_VAS],Tabel_VAS2022[Zaakcode],Tabel_prc_2022[[#This Row],[Zaakcode]],Tabel_VAS2022[Adviesofprocedure],"prc",Tabel_VAS2022[code_punten_forfait],12)</f>
        <v>0</v>
      </c>
      <c r="K49" s="92">
        <f>SUMIFS(Tabel_VAS2022[aantal_VAS],Tabel_VAS2022[Zaakcode],Tabel_prc_2022[[#This Row],[Zaakcode]],Tabel_VAS2022[Adviesofprocedure],"prc",Tabel_VAS2022[code_punten_forfait],15)</f>
        <v>0</v>
      </c>
      <c r="L49" s="92">
        <f>SUMIFS(Tabel_VAS2022[aantal_VAS],Tabel_VAS2022[Zaakcode],Tabel_prc_2022[[#This Row],[Zaakcode]],Tabel_VAS2022[Adviesofprocedure],"prc",Tabel_VAS2022[code_punten_forfait],16)</f>
        <v>0</v>
      </c>
      <c r="M49" s="35" t="str">
        <f>IFERROR(INDEX(Tabel_forfaits[forfait vanaf 2022],MATCH(Tabel_prc_2022[[#This Row],[Zaakcode]],Tabel_forfaits[Zaakcode],0)), "n.v.t.")</f>
        <v>n.v.t.</v>
      </c>
      <c r="N49" s="35" t="str">
        <f>IFERROR(INDEX(Tabel_forfaits[forfait VdM II voor berekening],MATCH(Tabel_prc_2022[[#This Row],[Zaakcode]],Tabel_forfaits[Zaakcode],0)), "n.v.t.")</f>
        <v>n.v.t.</v>
      </c>
      <c r="O49" s="36"/>
      <c r="P4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4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4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49" s="35">
        <f>IF(Tabel_prc_2022[[#This Row],[procedure - forfait VdM II]]="n.v.t.",0,  Tabel_prc_2022[[#This Row],[procedure - aantal 0 punten]] * (Tabel_prc_2022[[#This Row],[procedure - forfait VdM II]] - Tabel_prc_2022[[#This Row],[procedure - forfait VdM I]]))</f>
        <v>0</v>
      </c>
      <c r="T4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4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49" s="109">
        <f>Tabel_prc_2022[[#This Row],[procedure - totaal extra punten toev. VdM II t.o.v. huidig]] * tarief_huidig</f>
        <v>0</v>
      </c>
    </row>
    <row r="50" spans="2:22" x14ac:dyDescent="0.3">
      <c r="B50" s="1" t="s">
        <v>44</v>
      </c>
      <c r="C50" s="34" t="s">
        <v>5</v>
      </c>
      <c r="D5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0" s="91">
        <f>SUMIFS(Tabel_VAS2022[aantal_VAS],Tabel_VAS2022[Zaakcode],Tabel_prc_2022[[#This Row],[Zaakcode]],Tabel_VAS2022[Adviesofprocedure],"prc",Tabel_VAS2022[code_punten_forfait],10)</f>
        <v>0</v>
      </c>
      <c r="G50" s="92">
        <f>SUMIFS(Tabel_VAS2022[aantal_VAS],Tabel_VAS2022[Zaakcode],Tabel_prc_2022[[#This Row],[Zaakcode]],Tabel_VAS2022[Adviesofprocedure],"prc",Tabel_VAS2022[code_punten_forfait],11)</f>
        <v>0</v>
      </c>
      <c r="H50" s="92">
        <f>SUMIFS(Tabel_VAS2022[aantal_VAS],Tabel_VAS2022[Zaakcode],Tabel_prc_2022[[#This Row],[Zaakcode]],Tabel_VAS2022[Adviesofprocedure],"prc",Tabel_VAS2022[code_punten_forfait],13)</f>
        <v>0</v>
      </c>
      <c r="I50" s="92">
        <f>SUMIFS(Tabel_VAS2022[aantal_VAS],Tabel_VAS2022[Zaakcode],Tabel_prc_2022[[#This Row],[Zaakcode]],Tabel_VAS2022[Adviesofprocedure],"prc",Tabel_VAS2022[code_punten_forfait],14)</f>
        <v>0</v>
      </c>
      <c r="J50" s="92">
        <f>SUMIFS(Tabel_VAS2022[aantal_VAS],Tabel_VAS2022[Zaakcode],Tabel_prc_2022[[#This Row],[Zaakcode]],Tabel_VAS2022[Adviesofprocedure],"prc",Tabel_VAS2022[code_punten_forfait],12)</f>
        <v>0</v>
      </c>
      <c r="K50" s="92">
        <f>SUMIFS(Tabel_VAS2022[aantal_VAS],Tabel_VAS2022[Zaakcode],Tabel_prc_2022[[#This Row],[Zaakcode]],Tabel_VAS2022[Adviesofprocedure],"prc",Tabel_VAS2022[code_punten_forfait],15)</f>
        <v>0</v>
      </c>
      <c r="L50" s="92">
        <f>SUMIFS(Tabel_VAS2022[aantal_VAS],Tabel_VAS2022[Zaakcode],Tabel_prc_2022[[#This Row],[Zaakcode]],Tabel_VAS2022[Adviesofprocedure],"prc",Tabel_VAS2022[code_punten_forfait],16)</f>
        <v>0</v>
      </c>
      <c r="M50" s="35" t="str">
        <f>IFERROR(INDEX(Tabel_forfaits[forfait vanaf 2022],MATCH(Tabel_prc_2022[[#This Row],[Zaakcode]],Tabel_forfaits[Zaakcode],0)), "n.v.t.")</f>
        <v>n.v.t.</v>
      </c>
      <c r="N50" s="35" t="str">
        <f>IFERROR(INDEX(Tabel_forfaits[forfait VdM II voor berekening],MATCH(Tabel_prc_2022[[#This Row],[Zaakcode]],Tabel_forfaits[Zaakcode],0)), "n.v.t.")</f>
        <v>n.v.t.</v>
      </c>
      <c r="O50" s="36"/>
      <c r="P5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0" s="35">
        <f>IF(Tabel_prc_2022[[#This Row],[procedure - forfait VdM II]]="n.v.t.",0,  Tabel_prc_2022[[#This Row],[procedure - aantal 0 punten]] * (Tabel_prc_2022[[#This Row],[procedure - forfait VdM II]] - Tabel_prc_2022[[#This Row],[procedure - forfait VdM I]]))</f>
        <v>0</v>
      </c>
      <c r="T5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0" s="109">
        <f>Tabel_prc_2022[[#This Row],[procedure - totaal extra punten toev. VdM II t.o.v. huidig]] * tarief_huidig</f>
        <v>0</v>
      </c>
    </row>
    <row r="51" spans="2:22" x14ac:dyDescent="0.3">
      <c r="B51" s="1" t="s">
        <v>45</v>
      </c>
      <c r="C51" s="34" t="s">
        <v>5</v>
      </c>
      <c r="D5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1" s="91">
        <f>SUMIFS(Tabel_VAS2022[aantal_VAS],Tabel_VAS2022[Zaakcode],Tabel_prc_2022[[#This Row],[Zaakcode]],Tabel_VAS2022[Adviesofprocedure],"prc",Tabel_VAS2022[code_punten_forfait],10)</f>
        <v>0</v>
      </c>
      <c r="G51" s="92">
        <f>SUMIFS(Tabel_VAS2022[aantal_VAS],Tabel_VAS2022[Zaakcode],Tabel_prc_2022[[#This Row],[Zaakcode]],Tabel_VAS2022[Adviesofprocedure],"prc",Tabel_VAS2022[code_punten_forfait],11)</f>
        <v>0</v>
      </c>
      <c r="H51" s="92">
        <f>SUMIFS(Tabel_VAS2022[aantal_VAS],Tabel_VAS2022[Zaakcode],Tabel_prc_2022[[#This Row],[Zaakcode]],Tabel_VAS2022[Adviesofprocedure],"prc",Tabel_VAS2022[code_punten_forfait],13)</f>
        <v>0</v>
      </c>
      <c r="I51" s="92">
        <f>SUMIFS(Tabel_VAS2022[aantal_VAS],Tabel_VAS2022[Zaakcode],Tabel_prc_2022[[#This Row],[Zaakcode]],Tabel_VAS2022[Adviesofprocedure],"prc",Tabel_VAS2022[code_punten_forfait],14)</f>
        <v>0</v>
      </c>
      <c r="J51" s="92">
        <f>SUMIFS(Tabel_VAS2022[aantal_VAS],Tabel_VAS2022[Zaakcode],Tabel_prc_2022[[#This Row],[Zaakcode]],Tabel_VAS2022[Adviesofprocedure],"prc",Tabel_VAS2022[code_punten_forfait],12)</f>
        <v>0</v>
      </c>
      <c r="K51" s="92">
        <f>SUMIFS(Tabel_VAS2022[aantal_VAS],Tabel_VAS2022[Zaakcode],Tabel_prc_2022[[#This Row],[Zaakcode]],Tabel_VAS2022[Adviesofprocedure],"prc",Tabel_VAS2022[code_punten_forfait],15)</f>
        <v>0</v>
      </c>
      <c r="L51" s="92">
        <f>SUMIFS(Tabel_VAS2022[aantal_VAS],Tabel_VAS2022[Zaakcode],Tabel_prc_2022[[#This Row],[Zaakcode]],Tabel_VAS2022[Adviesofprocedure],"prc",Tabel_VAS2022[code_punten_forfait],16)</f>
        <v>0</v>
      </c>
      <c r="M51" s="35" t="str">
        <f>IFERROR(INDEX(Tabel_forfaits[forfait vanaf 2022],MATCH(Tabel_prc_2022[[#This Row],[Zaakcode]],Tabel_forfaits[Zaakcode],0)), "n.v.t.")</f>
        <v>n.v.t.</v>
      </c>
      <c r="N51" s="35" t="str">
        <f>IFERROR(INDEX(Tabel_forfaits[forfait VdM II voor berekening],MATCH(Tabel_prc_2022[[#This Row],[Zaakcode]],Tabel_forfaits[Zaakcode],0)), "n.v.t.")</f>
        <v>n.v.t.</v>
      </c>
      <c r="O51" s="36"/>
      <c r="P5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1" s="35">
        <f>IF(Tabel_prc_2022[[#This Row],[procedure - forfait VdM II]]="n.v.t.",0,  Tabel_prc_2022[[#This Row],[procedure - aantal 0 punten]] * (Tabel_prc_2022[[#This Row],[procedure - forfait VdM II]] - Tabel_prc_2022[[#This Row],[procedure - forfait VdM I]]))</f>
        <v>0</v>
      </c>
      <c r="T5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1" s="109">
        <f>Tabel_prc_2022[[#This Row],[procedure - totaal extra punten toev. VdM II t.o.v. huidig]] * tarief_huidig</f>
        <v>0</v>
      </c>
    </row>
    <row r="52" spans="2:22" x14ac:dyDescent="0.3">
      <c r="B52" s="1" t="s">
        <v>46</v>
      </c>
      <c r="C52" s="34" t="s">
        <v>5</v>
      </c>
      <c r="D5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2" s="91">
        <f>SUMIFS(Tabel_VAS2022[aantal_VAS],Tabel_VAS2022[Zaakcode],Tabel_prc_2022[[#This Row],[Zaakcode]],Tabel_VAS2022[Adviesofprocedure],"prc",Tabel_VAS2022[code_punten_forfait],10)</f>
        <v>0</v>
      </c>
      <c r="G52" s="92">
        <f>SUMIFS(Tabel_VAS2022[aantal_VAS],Tabel_VAS2022[Zaakcode],Tabel_prc_2022[[#This Row],[Zaakcode]],Tabel_VAS2022[Adviesofprocedure],"prc",Tabel_VAS2022[code_punten_forfait],11)</f>
        <v>0</v>
      </c>
      <c r="H52" s="92">
        <f>SUMIFS(Tabel_VAS2022[aantal_VAS],Tabel_VAS2022[Zaakcode],Tabel_prc_2022[[#This Row],[Zaakcode]],Tabel_VAS2022[Adviesofprocedure],"prc",Tabel_VAS2022[code_punten_forfait],13)</f>
        <v>0</v>
      </c>
      <c r="I52" s="92">
        <f>SUMIFS(Tabel_VAS2022[aantal_VAS],Tabel_VAS2022[Zaakcode],Tabel_prc_2022[[#This Row],[Zaakcode]],Tabel_VAS2022[Adviesofprocedure],"prc",Tabel_VAS2022[code_punten_forfait],14)</f>
        <v>0</v>
      </c>
      <c r="J52" s="92">
        <f>SUMIFS(Tabel_VAS2022[aantal_VAS],Tabel_VAS2022[Zaakcode],Tabel_prc_2022[[#This Row],[Zaakcode]],Tabel_VAS2022[Adviesofprocedure],"prc",Tabel_VAS2022[code_punten_forfait],12)</f>
        <v>0</v>
      </c>
      <c r="K52" s="92">
        <f>SUMIFS(Tabel_VAS2022[aantal_VAS],Tabel_VAS2022[Zaakcode],Tabel_prc_2022[[#This Row],[Zaakcode]],Tabel_VAS2022[Adviesofprocedure],"prc",Tabel_VAS2022[code_punten_forfait],15)</f>
        <v>0</v>
      </c>
      <c r="L52" s="92">
        <f>SUMIFS(Tabel_VAS2022[aantal_VAS],Tabel_VAS2022[Zaakcode],Tabel_prc_2022[[#This Row],[Zaakcode]],Tabel_VAS2022[Adviesofprocedure],"prc",Tabel_VAS2022[code_punten_forfait],16)</f>
        <v>0</v>
      </c>
      <c r="M52" s="35" t="str">
        <f>IFERROR(INDEX(Tabel_forfaits[forfait vanaf 2022],MATCH(Tabel_prc_2022[[#This Row],[Zaakcode]],Tabel_forfaits[Zaakcode],0)), "n.v.t.")</f>
        <v>n.v.t.</v>
      </c>
      <c r="N52" s="35" t="str">
        <f>IFERROR(INDEX(Tabel_forfaits[forfait VdM II voor berekening],MATCH(Tabel_prc_2022[[#This Row],[Zaakcode]],Tabel_forfaits[Zaakcode],0)), "n.v.t.")</f>
        <v>n.v.t.</v>
      </c>
      <c r="O52" s="36"/>
      <c r="P5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2" s="35">
        <f>IF(Tabel_prc_2022[[#This Row],[procedure - forfait VdM II]]="n.v.t.",0,  Tabel_prc_2022[[#This Row],[procedure - aantal 0 punten]] * (Tabel_prc_2022[[#This Row],[procedure - forfait VdM II]] - Tabel_prc_2022[[#This Row],[procedure - forfait VdM I]]))</f>
        <v>0</v>
      </c>
      <c r="T5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2" s="109">
        <f>Tabel_prc_2022[[#This Row],[procedure - totaal extra punten toev. VdM II t.o.v. huidig]] * tarief_huidig</f>
        <v>0</v>
      </c>
    </row>
    <row r="53" spans="2:22" x14ac:dyDescent="0.3">
      <c r="B53" s="1" t="s">
        <v>47</v>
      </c>
      <c r="C53" s="34" t="s">
        <v>5</v>
      </c>
      <c r="D5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3" s="91">
        <f>SUMIFS(Tabel_VAS2022[aantal_VAS],Tabel_VAS2022[Zaakcode],Tabel_prc_2022[[#This Row],[Zaakcode]],Tabel_VAS2022[Adviesofprocedure],"prc",Tabel_VAS2022[code_punten_forfait],10)</f>
        <v>0</v>
      </c>
      <c r="G53" s="92">
        <f>SUMIFS(Tabel_VAS2022[aantal_VAS],Tabel_VAS2022[Zaakcode],Tabel_prc_2022[[#This Row],[Zaakcode]],Tabel_VAS2022[Adviesofprocedure],"prc",Tabel_VAS2022[code_punten_forfait],11)</f>
        <v>0</v>
      </c>
      <c r="H53" s="92">
        <f>SUMIFS(Tabel_VAS2022[aantal_VAS],Tabel_VAS2022[Zaakcode],Tabel_prc_2022[[#This Row],[Zaakcode]],Tabel_VAS2022[Adviesofprocedure],"prc",Tabel_VAS2022[code_punten_forfait],13)</f>
        <v>0</v>
      </c>
      <c r="I53" s="92">
        <f>SUMIFS(Tabel_VAS2022[aantal_VAS],Tabel_VAS2022[Zaakcode],Tabel_prc_2022[[#This Row],[Zaakcode]],Tabel_VAS2022[Adviesofprocedure],"prc",Tabel_VAS2022[code_punten_forfait],14)</f>
        <v>0</v>
      </c>
      <c r="J53" s="92">
        <f>SUMIFS(Tabel_VAS2022[aantal_VAS],Tabel_VAS2022[Zaakcode],Tabel_prc_2022[[#This Row],[Zaakcode]],Tabel_VAS2022[Adviesofprocedure],"prc",Tabel_VAS2022[code_punten_forfait],12)</f>
        <v>0</v>
      </c>
      <c r="K53" s="92">
        <f>SUMIFS(Tabel_VAS2022[aantal_VAS],Tabel_VAS2022[Zaakcode],Tabel_prc_2022[[#This Row],[Zaakcode]],Tabel_VAS2022[Adviesofprocedure],"prc",Tabel_VAS2022[code_punten_forfait],15)</f>
        <v>0</v>
      </c>
      <c r="L53" s="92">
        <f>SUMIFS(Tabel_VAS2022[aantal_VAS],Tabel_VAS2022[Zaakcode],Tabel_prc_2022[[#This Row],[Zaakcode]],Tabel_VAS2022[Adviesofprocedure],"prc",Tabel_VAS2022[code_punten_forfait],16)</f>
        <v>0</v>
      </c>
      <c r="M53" s="35" t="str">
        <f>IFERROR(INDEX(Tabel_forfaits[forfait vanaf 2022],MATCH(Tabel_prc_2022[[#This Row],[Zaakcode]],Tabel_forfaits[Zaakcode],0)), "n.v.t.")</f>
        <v>n.v.t.</v>
      </c>
      <c r="N53" s="35" t="str">
        <f>IFERROR(INDEX(Tabel_forfaits[forfait VdM II voor berekening],MATCH(Tabel_prc_2022[[#This Row],[Zaakcode]],Tabel_forfaits[Zaakcode],0)), "n.v.t.")</f>
        <v>n.v.t.</v>
      </c>
      <c r="O53" s="36"/>
      <c r="P5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3" s="35">
        <f>IF(Tabel_prc_2022[[#This Row],[procedure - forfait VdM II]]="n.v.t.",0,  Tabel_prc_2022[[#This Row],[procedure - aantal 0 punten]] * (Tabel_prc_2022[[#This Row],[procedure - forfait VdM II]] - Tabel_prc_2022[[#This Row],[procedure - forfait VdM I]]))</f>
        <v>0</v>
      </c>
      <c r="T5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3" s="109">
        <f>Tabel_prc_2022[[#This Row],[procedure - totaal extra punten toev. VdM II t.o.v. huidig]] * tarief_huidig</f>
        <v>0</v>
      </c>
    </row>
    <row r="54" spans="2:22" x14ac:dyDescent="0.3">
      <c r="B54" s="1" t="s">
        <v>48</v>
      </c>
      <c r="C54" s="34" t="s">
        <v>5</v>
      </c>
      <c r="D5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4" s="91">
        <f>SUMIFS(Tabel_VAS2022[aantal_VAS],Tabel_VAS2022[Zaakcode],Tabel_prc_2022[[#This Row],[Zaakcode]],Tabel_VAS2022[Adviesofprocedure],"prc",Tabel_VAS2022[code_punten_forfait],10)</f>
        <v>0</v>
      </c>
      <c r="G54" s="92">
        <f>SUMIFS(Tabel_VAS2022[aantal_VAS],Tabel_VAS2022[Zaakcode],Tabel_prc_2022[[#This Row],[Zaakcode]],Tabel_VAS2022[Adviesofprocedure],"prc",Tabel_VAS2022[code_punten_forfait],11)</f>
        <v>0</v>
      </c>
      <c r="H54" s="92">
        <f>SUMIFS(Tabel_VAS2022[aantal_VAS],Tabel_VAS2022[Zaakcode],Tabel_prc_2022[[#This Row],[Zaakcode]],Tabel_VAS2022[Adviesofprocedure],"prc",Tabel_VAS2022[code_punten_forfait],13)</f>
        <v>0</v>
      </c>
      <c r="I54" s="92">
        <f>SUMIFS(Tabel_VAS2022[aantal_VAS],Tabel_VAS2022[Zaakcode],Tabel_prc_2022[[#This Row],[Zaakcode]],Tabel_VAS2022[Adviesofprocedure],"prc",Tabel_VAS2022[code_punten_forfait],14)</f>
        <v>0</v>
      </c>
      <c r="J54" s="92">
        <f>SUMIFS(Tabel_VAS2022[aantal_VAS],Tabel_VAS2022[Zaakcode],Tabel_prc_2022[[#This Row],[Zaakcode]],Tabel_VAS2022[Adviesofprocedure],"prc",Tabel_VAS2022[code_punten_forfait],12)</f>
        <v>0</v>
      </c>
      <c r="K54" s="92">
        <f>SUMIFS(Tabel_VAS2022[aantal_VAS],Tabel_VAS2022[Zaakcode],Tabel_prc_2022[[#This Row],[Zaakcode]],Tabel_VAS2022[Adviesofprocedure],"prc",Tabel_VAS2022[code_punten_forfait],15)</f>
        <v>0</v>
      </c>
      <c r="L54" s="92">
        <f>SUMIFS(Tabel_VAS2022[aantal_VAS],Tabel_VAS2022[Zaakcode],Tabel_prc_2022[[#This Row],[Zaakcode]],Tabel_VAS2022[Adviesofprocedure],"prc",Tabel_VAS2022[code_punten_forfait],16)</f>
        <v>0</v>
      </c>
      <c r="M54" s="35" t="str">
        <f>IFERROR(INDEX(Tabel_forfaits[forfait vanaf 2022],MATCH(Tabel_prc_2022[[#This Row],[Zaakcode]],Tabel_forfaits[Zaakcode],0)), "n.v.t.")</f>
        <v>n.v.t.</v>
      </c>
      <c r="N54" s="35" t="str">
        <f>IFERROR(INDEX(Tabel_forfaits[forfait VdM II voor berekening],MATCH(Tabel_prc_2022[[#This Row],[Zaakcode]],Tabel_forfaits[Zaakcode],0)), "n.v.t.")</f>
        <v>n.v.t.</v>
      </c>
      <c r="O54" s="36"/>
      <c r="P5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4" s="35">
        <f>IF(Tabel_prc_2022[[#This Row],[procedure - forfait VdM II]]="n.v.t.",0,  Tabel_prc_2022[[#This Row],[procedure - aantal 0 punten]] * (Tabel_prc_2022[[#This Row],[procedure - forfait VdM II]] - Tabel_prc_2022[[#This Row],[procedure - forfait VdM I]]))</f>
        <v>0</v>
      </c>
      <c r="T5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4" s="109">
        <f>Tabel_prc_2022[[#This Row],[procedure - totaal extra punten toev. VdM II t.o.v. huidig]] * tarief_huidig</f>
        <v>0</v>
      </c>
    </row>
    <row r="55" spans="2:22" x14ac:dyDescent="0.3">
      <c r="B55" s="1" t="s">
        <v>49</v>
      </c>
      <c r="C55" s="34" t="s">
        <v>5</v>
      </c>
      <c r="D5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5" s="91">
        <f>SUMIFS(Tabel_VAS2022[aantal_VAS],Tabel_VAS2022[Zaakcode],Tabel_prc_2022[[#This Row],[Zaakcode]],Tabel_VAS2022[Adviesofprocedure],"prc",Tabel_VAS2022[code_punten_forfait],10)</f>
        <v>0</v>
      </c>
      <c r="G55" s="92">
        <f>SUMIFS(Tabel_VAS2022[aantal_VAS],Tabel_VAS2022[Zaakcode],Tabel_prc_2022[[#This Row],[Zaakcode]],Tabel_VAS2022[Adviesofprocedure],"prc",Tabel_VAS2022[code_punten_forfait],11)</f>
        <v>0</v>
      </c>
      <c r="H55" s="92">
        <f>SUMIFS(Tabel_VAS2022[aantal_VAS],Tabel_VAS2022[Zaakcode],Tabel_prc_2022[[#This Row],[Zaakcode]],Tabel_VAS2022[Adviesofprocedure],"prc",Tabel_VAS2022[code_punten_forfait],13)</f>
        <v>0</v>
      </c>
      <c r="I55" s="92">
        <f>SUMIFS(Tabel_VAS2022[aantal_VAS],Tabel_VAS2022[Zaakcode],Tabel_prc_2022[[#This Row],[Zaakcode]],Tabel_VAS2022[Adviesofprocedure],"prc",Tabel_VAS2022[code_punten_forfait],14)</f>
        <v>0</v>
      </c>
      <c r="J55" s="92">
        <f>SUMIFS(Tabel_VAS2022[aantal_VAS],Tabel_VAS2022[Zaakcode],Tabel_prc_2022[[#This Row],[Zaakcode]],Tabel_VAS2022[Adviesofprocedure],"prc",Tabel_VAS2022[code_punten_forfait],12)</f>
        <v>0</v>
      </c>
      <c r="K55" s="92">
        <f>SUMIFS(Tabel_VAS2022[aantal_VAS],Tabel_VAS2022[Zaakcode],Tabel_prc_2022[[#This Row],[Zaakcode]],Tabel_VAS2022[Adviesofprocedure],"prc",Tabel_VAS2022[code_punten_forfait],15)</f>
        <v>0</v>
      </c>
      <c r="L55" s="92">
        <f>SUMIFS(Tabel_VAS2022[aantal_VAS],Tabel_VAS2022[Zaakcode],Tabel_prc_2022[[#This Row],[Zaakcode]],Tabel_VAS2022[Adviesofprocedure],"prc",Tabel_VAS2022[code_punten_forfait],16)</f>
        <v>0</v>
      </c>
      <c r="M55" s="35" t="str">
        <f>IFERROR(INDEX(Tabel_forfaits[forfait vanaf 2022],MATCH(Tabel_prc_2022[[#This Row],[Zaakcode]],Tabel_forfaits[Zaakcode],0)), "n.v.t.")</f>
        <v>n.v.t.</v>
      </c>
      <c r="N55" s="35" t="str">
        <f>IFERROR(INDEX(Tabel_forfaits[forfait VdM II voor berekening],MATCH(Tabel_prc_2022[[#This Row],[Zaakcode]],Tabel_forfaits[Zaakcode],0)), "n.v.t.")</f>
        <v>n.v.t.</v>
      </c>
      <c r="O55" s="36"/>
      <c r="P5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5" s="35">
        <f>IF(Tabel_prc_2022[[#This Row],[procedure - forfait VdM II]]="n.v.t.",0,  Tabel_prc_2022[[#This Row],[procedure - aantal 0 punten]] * (Tabel_prc_2022[[#This Row],[procedure - forfait VdM II]] - Tabel_prc_2022[[#This Row],[procedure - forfait VdM I]]))</f>
        <v>0</v>
      </c>
      <c r="T5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5" s="109">
        <f>Tabel_prc_2022[[#This Row],[procedure - totaal extra punten toev. VdM II t.o.v. huidig]] * tarief_huidig</f>
        <v>0</v>
      </c>
    </row>
    <row r="56" spans="2:22" x14ac:dyDescent="0.3">
      <c r="B56" s="1" t="s">
        <v>50</v>
      </c>
      <c r="C56" s="34" t="s">
        <v>5</v>
      </c>
      <c r="D5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6" s="91">
        <f>SUMIFS(Tabel_VAS2022[aantal_VAS],Tabel_VAS2022[Zaakcode],Tabel_prc_2022[[#This Row],[Zaakcode]],Tabel_VAS2022[Adviesofprocedure],"prc",Tabel_VAS2022[code_punten_forfait],10)</f>
        <v>0</v>
      </c>
      <c r="G56" s="92">
        <f>SUMIFS(Tabel_VAS2022[aantal_VAS],Tabel_VAS2022[Zaakcode],Tabel_prc_2022[[#This Row],[Zaakcode]],Tabel_VAS2022[Adviesofprocedure],"prc",Tabel_VAS2022[code_punten_forfait],11)</f>
        <v>0</v>
      </c>
      <c r="H56" s="92">
        <f>SUMIFS(Tabel_VAS2022[aantal_VAS],Tabel_VAS2022[Zaakcode],Tabel_prc_2022[[#This Row],[Zaakcode]],Tabel_VAS2022[Adviesofprocedure],"prc",Tabel_VAS2022[code_punten_forfait],13)</f>
        <v>0</v>
      </c>
      <c r="I56" s="92">
        <f>SUMIFS(Tabel_VAS2022[aantal_VAS],Tabel_VAS2022[Zaakcode],Tabel_prc_2022[[#This Row],[Zaakcode]],Tabel_VAS2022[Adviesofprocedure],"prc",Tabel_VAS2022[code_punten_forfait],14)</f>
        <v>0</v>
      </c>
      <c r="J56" s="92">
        <f>SUMIFS(Tabel_VAS2022[aantal_VAS],Tabel_VAS2022[Zaakcode],Tabel_prc_2022[[#This Row],[Zaakcode]],Tabel_VAS2022[Adviesofprocedure],"prc",Tabel_VAS2022[code_punten_forfait],12)</f>
        <v>0</v>
      </c>
      <c r="K56" s="92">
        <f>SUMIFS(Tabel_VAS2022[aantal_VAS],Tabel_VAS2022[Zaakcode],Tabel_prc_2022[[#This Row],[Zaakcode]],Tabel_VAS2022[Adviesofprocedure],"prc",Tabel_VAS2022[code_punten_forfait],15)</f>
        <v>0</v>
      </c>
      <c r="L56" s="92">
        <f>SUMIFS(Tabel_VAS2022[aantal_VAS],Tabel_VAS2022[Zaakcode],Tabel_prc_2022[[#This Row],[Zaakcode]],Tabel_VAS2022[Adviesofprocedure],"prc",Tabel_VAS2022[code_punten_forfait],16)</f>
        <v>0</v>
      </c>
      <c r="M56" s="35" t="str">
        <f>IFERROR(INDEX(Tabel_forfaits[forfait vanaf 2022],MATCH(Tabel_prc_2022[[#This Row],[Zaakcode]],Tabel_forfaits[Zaakcode],0)), "n.v.t.")</f>
        <v>n.v.t.</v>
      </c>
      <c r="N56" s="35" t="str">
        <f>IFERROR(INDEX(Tabel_forfaits[forfait VdM II voor berekening],MATCH(Tabel_prc_2022[[#This Row],[Zaakcode]],Tabel_forfaits[Zaakcode],0)), "n.v.t.")</f>
        <v>n.v.t.</v>
      </c>
      <c r="O56" s="36"/>
      <c r="P5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6" s="35">
        <f>IF(Tabel_prc_2022[[#This Row],[procedure - forfait VdM II]]="n.v.t.",0,  Tabel_prc_2022[[#This Row],[procedure - aantal 0 punten]] * (Tabel_prc_2022[[#This Row],[procedure - forfait VdM II]] - Tabel_prc_2022[[#This Row],[procedure - forfait VdM I]]))</f>
        <v>0</v>
      </c>
      <c r="T5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6" s="109">
        <f>Tabel_prc_2022[[#This Row],[procedure - totaal extra punten toev. VdM II t.o.v. huidig]] * tarief_huidig</f>
        <v>0</v>
      </c>
    </row>
    <row r="57" spans="2:22" x14ac:dyDescent="0.3">
      <c r="B57" s="1" t="s">
        <v>51</v>
      </c>
      <c r="C57" s="34" t="s">
        <v>5</v>
      </c>
      <c r="D5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7" s="91">
        <f>SUMIFS(Tabel_VAS2022[aantal_VAS],Tabel_VAS2022[Zaakcode],Tabel_prc_2022[[#This Row],[Zaakcode]],Tabel_VAS2022[Adviesofprocedure],"prc",Tabel_VAS2022[code_punten_forfait],10)</f>
        <v>0</v>
      </c>
      <c r="G57" s="92">
        <f>SUMIFS(Tabel_VAS2022[aantal_VAS],Tabel_VAS2022[Zaakcode],Tabel_prc_2022[[#This Row],[Zaakcode]],Tabel_VAS2022[Adviesofprocedure],"prc",Tabel_VAS2022[code_punten_forfait],11)</f>
        <v>0</v>
      </c>
      <c r="H57" s="92">
        <f>SUMIFS(Tabel_VAS2022[aantal_VAS],Tabel_VAS2022[Zaakcode],Tabel_prc_2022[[#This Row],[Zaakcode]],Tabel_VAS2022[Adviesofprocedure],"prc",Tabel_VAS2022[code_punten_forfait],13)</f>
        <v>0</v>
      </c>
      <c r="I57" s="92">
        <f>SUMIFS(Tabel_VAS2022[aantal_VAS],Tabel_VAS2022[Zaakcode],Tabel_prc_2022[[#This Row],[Zaakcode]],Tabel_VAS2022[Adviesofprocedure],"prc",Tabel_VAS2022[code_punten_forfait],14)</f>
        <v>0</v>
      </c>
      <c r="J57" s="92">
        <f>SUMIFS(Tabel_VAS2022[aantal_VAS],Tabel_VAS2022[Zaakcode],Tabel_prc_2022[[#This Row],[Zaakcode]],Tabel_VAS2022[Adviesofprocedure],"prc",Tabel_VAS2022[code_punten_forfait],12)</f>
        <v>0</v>
      </c>
      <c r="K57" s="92">
        <f>SUMIFS(Tabel_VAS2022[aantal_VAS],Tabel_VAS2022[Zaakcode],Tabel_prc_2022[[#This Row],[Zaakcode]],Tabel_VAS2022[Adviesofprocedure],"prc",Tabel_VAS2022[code_punten_forfait],15)</f>
        <v>0</v>
      </c>
      <c r="L57" s="92">
        <f>SUMIFS(Tabel_VAS2022[aantal_VAS],Tabel_VAS2022[Zaakcode],Tabel_prc_2022[[#This Row],[Zaakcode]],Tabel_VAS2022[Adviesofprocedure],"prc",Tabel_VAS2022[code_punten_forfait],16)</f>
        <v>0</v>
      </c>
      <c r="M57" s="35" t="str">
        <f>IFERROR(INDEX(Tabel_forfaits[forfait vanaf 2022],MATCH(Tabel_prc_2022[[#This Row],[Zaakcode]],Tabel_forfaits[Zaakcode],0)), "n.v.t.")</f>
        <v>n.v.t.</v>
      </c>
      <c r="N57" s="35" t="str">
        <f>IFERROR(INDEX(Tabel_forfaits[forfait VdM II voor berekening],MATCH(Tabel_prc_2022[[#This Row],[Zaakcode]],Tabel_forfaits[Zaakcode],0)), "n.v.t.")</f>
        <v>n.v.t.</v>
      </c>
      <c r="O57" s="36"/>
      <c r="P5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7" s="35">
        <f>IF(Tabel_prc_2022[[#This Row],[procedure - forfait VdM II]]="n.v.t.",0,  Tabel_prc_2022[[#This Row],[procedure - aantal 0 punten]] * (Tabel_prc_2022[[#This Row],[procedure - forfait VdM II]] - Tabel_prc_2022[[#This Row],[procedure - forfait VdM I]]))</f>
        <v>0</v>
      </c>
      <c r="T5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7" s="109">
        <f>Tabel_prc_2022[[#This Row],[procedure - totaal extra punten toev. VdM II t.o.v. huidig]] * tarief_huidig</f>
        <v>0</v>
      </c>
    </row>
    <row r="58" spans="2:22" x14ac:dyDescent="0.3">
      <c r="B58" s="1" t="s">
        <v>52</v>
      </c>
      <c r="C58" s="34" t="s">
        <v>5</v>
      </c>
      <c r="D5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8" s="91">
        <f>SUMIFS(Tabel_VAS2022[aantal_VAS],Tabel_VAS2022[Zaakcode],Tabel_prc_2022[[#This Row],[Zaakcode]],Tabel_VAS2022[Adviesofprocedure],"prc",Tabel_VAS2022[code_punten_forfait],10)</f>
        <v>0</v>
      </c>
      <c r="G58" s="92">
        <f>SUMIFS(Tabel_VAS2022[aantal_VAS],Tabel_VAS2022[Zaakcode],Tabel_prc_2022[[#This Row],[Zaakcode]],Tabel_VAS2022[Adviesofprocedure],"prc",Tabel_VAS2022[code_punten_forfait],11)</f>
        <v>0</v>
      </c>
      <c r="H58" s="92">
        <f>SUMIFS(Tabel_VAS2022[aantal_VAS],Tabel_VAS2022[Zaakcode],Tabel_prc_2022[[#This Row],[Zaakcode]],Tabel_VAS2022[Adviesofprocedure],"prc",Tabel_VAS2022[code_punten_forfait],13)</f>
        <v>0</v>
      </c>
      <c r="I58" s="92">
        <f>SUMIFS(Tabel_VAS2022[aantal_VAS],Tabel_VAS2022[Zaakcode],Tabel_prc_2022[[#This Row],[Zaakcode]],Tabel_VAS2022[Adviesofprocedure],"prc",Tabel_VAS2022[code_punten_forfait],14)</f>
        <v>0</v>
      </c>
      <c r="J58" s="92">
        <f>SUMIFS(Tabel_VAS2022[aantal_VAS],Tabel_VAS2022[Zaakcode],Tabel_prc_2022[[#This Row],[Zaakcode]],Tabel_VAS2022[Adviesofprocedure],"prc",Tabel_VAS2022[code_punten_forfait],12)</f>
        <v>0</v>
      </c>
      <c r="K58" s="92">
        <f>SUMIFS(Tabel_VAS2022[aantal_VAS],Tabel_VAS2022[Zaakcode],Tabel_prc_2022[[#This Row],[Zaakcode]],Tabel_VAS2022[Adviesofprocedure],"prc",Tabel_VAS2022[code_punten_forfait],15)</f>
        <v>0</v>
      </c>
      <c r="L58" s="92">
        <f>SUMIFS(Tabel_VAS2022[aantal_VAS],Tabel_VAS2022[Zaakcode],Tabel_prc_2022[[#This Row],[Zaakcode]],Tabel_VAS2022[Adviesofprocedure],"prc",Tabel_VAS2022[code_punten_forfait],16)</f>
        <v>0</v>
      </c>
      <c r="M58" s="35" t="str">
        <f>IFERROR(INDEX(Tabel_forfaits[forfait vanaf 2022],MATCH(Tabel_prc_2022[[#This Row],[Zaakcode]],Tabel_forfaits[Zaakcode],0)), "n.v.t.")</f>
        <v>n.v.t.</v>
      </c>
      <c r="N58" s="35" t="str">
        <f>IFERROR(INDEX(Tabel_forfaits[forfait VdM II voor berekening],MATCH(Tabel_prc_2022[[#This Row],[Zaakcode]],Tabel_forfaits[Zaakcode],0)), "n.v.t.")</f>
        <v>n.v.t.</v>
      </c>
      <c r="O58" s="36"/>
      <c r="P5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8" s="35">
        <f>IF(Tabel_prc_2022[[#This Row],[procedure - forfait VdM II]]="n.v.t.",0,  Tabel_prc_2022[[#This Row],[procedure - aantal 0 punten]] * (Tabel_prc_2022[[#This Row],[procedure - forfait VdM II]] - Tabel_prc_2022[[#This Row],[procedure - forfait VdM I]]))</f>
        <v>0</v>
      </c>
      <c r="T5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8" s="109">
        <f>Tabel_prc_2022[[#This Row],[procedure - totaal extra punten toev. VdM II t.o.v. huidig]] * tarief_huidig</f>
        <v>0</v>
      </c>
    </row>
    <row r="59" spans="2:22" x14ac:dyDescent="0.3">
      <c r="B59" s="1" t="s">
        <v>53</v>
      </c>
      <c r="C59" s="34" t="s">
        <v>5</v>
      </c>
      <c r="D5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5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59" s="91">
        <f>SUMIFS(Tabel_VAS2022[aantal_VAS],Tabel_VAS2022[Zaakcode],Tabel_prc_2022[[#This Row],[Zaakcode]],Tabel_VAS2022[Adviesofprocedure],"prc",Tabel_VAS2022[code_punten_forfait],10)</f>
        <v>0</v>
      </c>
      <c r="G59" s="92">
        <f>SUMIFS(Tabel_VAS2022[aantal_VAS],Tabel_VAS2022[Zaakcode],Tabel_prc_2022[[#This Row],[Zaakcode]],Tabel_VAS2022[Adviesofprocedure],"prc",Tabel_VAS2022[code_punten_forfait],11)</f>
        <v>0</v>
      </c>
      <c r="H59" s="92">
        <f>SUMIFS(Tabel_VAS2022[aantal_VAS],Tabel_VAS2022[Zaakcode],Tabel_prc_2022[[#This Row],[Zaakcode]],Tabel_VAS2022[Adviesofprocedure],"prc",Tabel_VAS2022[code_punten_forfait],13)</f>
        <v>0</v>
      </c>
      <c r="I59" s="92">
        <f>SUMIFS(Tabel_VAS2022[aantal_VAS],Tabel_VAS2022[Zaakcode],Tabel_prc_2022[[#This Row],[Zaakcode]],Tabel_VAS2022[Adviesofprocedure],"prc",Tabel_VAS2022[code_punten_forfait],14)</f>
        <v>0</v>
      </c>
      <c r="J59" s="92">
        <f>SUMIFS(Tabel_VAS2022[aantal_VAS],Tabel_VAS2022[Zaakcode],Tabel_prc_2022[[#This Row],[Zaakcode]],Tabel_VAS2022[Adviesofprocedure],"prc",Tabel_VAS2022[code_punten_forfait],12)</f>
        <v>0</v>
      </c>
      <c r="K59" s="92">
        <f>SUMIFS(Tabel_VAS2022[aantal_VAS],Tabel_VAS2022[Zaakcode],Tabel_prc_2022[[#This Row],[Zaakcode]],Tabel_VAS2022[Adviesofprocedure],"prc",Tabel_VAS2022[code_punten_forfait],15)</f>
        <v>0</v>
      </c>
      <c r="L59" s="92">
        <f>SUMIFS(Tabel_VAS2022[aantal_VAS],Tabel_VAS2022[Zaakcode],Tabel_prc_2022[[#This Row],[Zaakcode]],Tabel_VAS2022[Adviesofprocedure],"prc",Tabel_VAS2022[code_punten_forfait],16)</f>
        <v>0</v>
      </c>
      <c r="M59" s="35" t="str">
        <f>IFERROR(INDEX(Tabel_forfaits[forfait vanaf 2022],MATCH(Tabel_prc_2022[[#This Row],[Zaakcode]],Tabel_forfaits[Zaakcode],0)), "n.v.t.")</f>
        <v>n.v.t.</v>
      </c>
      <c r="N59" s="35" t="str">
        <f>IFERROR(INDEX(Tabel_forfaits[forfait VdM II voor berekening],MATCH(Tabel_prc_2022[[#This Row],[Zaakcode]],Tabel_forfaits[Zaakcode],0)), "n.v.t.")</f>
        <v>n.v.t.</v>
      </c>
      <c r="O59" s="36"/>
      <c r="P5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5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5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59" s="35">
        <f>IF(Tabel_prc_2022[[#This Row],[procedure - forfait VdM II]]="n.v.t.",0,  Tabel_prc_2022[[#This Row],[procedure - aantal 0 punten]] * (Tabel_prc_2022[[#This Row],[procedure - forfait VdM II]] - Tabel_prc_2022[[#This Row],[procedure - forfait VdM I]]))</f>
        <v>0</v>
      </c>
      <c r="T5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5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59" s="109">
        <f>Tabel_prc_2022[[#This Row],[procedure - totaal extra punten toev. VdM II t.o.v. huidig]] * tarief_huidig</f>
        <v>0</v>
      </c>
    </row>
    <row r="60" spans="2:22" x14ac:dyDescent="0.3">
      <c r="B60" s="1" t="s">
        <v>54</v>
      </c>
      <c r="C60" s="34" t="s">
        <v>5</v>
      </c>
      <c r="D6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1102</v>
      </c>
      <c r="E6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13230.899999999998</v>
      </c>
      <c r="F60" s="91">
        <f>SUMIFS(Tabel_VAS2022[aantal_VAS],Tabel_VAS2022[Zaakcode],Tabel_prc_2022[[#This Row],[Zaakcode]],Tabel_VAS2022[Adviesofprocedure],"prc",Tabel_VAS2022[code_punten_forfait],10)</f>
        <v>23</v>
      </c>
      <c r="G60" s="92">
        <f>SUMIFS(Tabel_VAS2022[aantal_VAS],Tabel_VAS2022[Zaakcode],Tabel_prc_2022[[#This Row],[Zaakcode]],Tabel_VAS2022[Adviesofprocedure],"prc",Tabel_VAS2022[code_punten_forfait],11)</f>
        <v>674</v>
      </c>
      <c r="H60" s="92">
        <f>SUMIFS(Tabel_VAS2022[aantal_VAS],Tabel_VAS2022[Zaakcode],Tabel_prc_2022[[#This Row],[Zaakcode]],Tabel_VAS2022[Adviesofprocedure],"prc",Tabel_VAS2022[code_punten_forfait],13)</f>
        <v>100</v>
      </c>
      <c r="I60" s="92">
        <f>SUMIFS(Tabel_VAS2022[aantal_VAS],Tabel_VAS2022[Zaakcode],Tabel_prc_2022[[#This Row],[Zaakcode]],Tabel_VAS2022[Adviesofprocedure],"prc",Tabel_VAS2022[code_punten_forfait],14)</f>
        <v>7</v>
      </c>
      <c r="J60" s="92">
        <f>SUMIFS(Tabel_VAS2022[aantal_VAS],Tabel_VAS2022[Zaakcode],Tabel_prc_2022[[#This Row],[Zaakcode]],Tabel_VAS2022[Adviesofprocedure],"prc",Tabel_VAS2022[code_punten_forfait],12)</f>
        <v>238</v>
      </c>
      <c r="K60" s="92">
        <f>SUMIFS(Tabel_VAS2022[aantal_VAS],Tabel_VAS2022[Zaakcode],Tabel_prc_2022[[#This Row],[Zaakcode]],Tabel_VAS2022[Adviesofprocedure],"prc",Tabel_VAS2022[code_punten_forfait],15)</f>
        <v>60</v>
      </c>
      <c r="L60" s="92">
        <f>SUMIFS(Tabel_VAS2022[aantal_VAS],Tabel_VAS2022[Zaakcode],Tabel_prc_2022[[#This Row],[Zaakcode]],Tabel_VAS2022[Adviesofprocedure],"prc",Tabel_VAS2022[code_punten_forfait],16)</f>
        <v>0</v>
      </c>
      <c r="M60" s="35">
        <f>IFERROR(INDEX(Tabel_forfaits[forfait vanaf 2022],MATCH(Tabel_prc_2022[[#This Row],[Zaakcode]],Tabel_forfaits[Zaakcode],0)), "n.v.t.")</f>
        <v>19</v>
      </c>
      <c r="N60" s="35">
        <f>IFERROR(INDEX(Tabel_forfaits[forfait VdM II voor berekening],MATCH(Tabel_prc_2022[[#This Row],[Zaakcode]],Tabel_forfaits[Zaakcode],0)), "n.v.t.")</f>
        <v>19</v>
      </c>
      <c r="O60" s="36"/>
      <c r="P6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6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6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60" s="35">
        <f>IF(Tabel_prc_2022[[#This Row],[procedure - forfait VdM II]]="n.v.t.",0,  Tabel_prc_2022[[#This Row],[procedure - aantal 0 punten]] * (Tabel_prc_2022[[#This Row],[procedure - forfait VdM II]] - Tabel_prc_2022[[#This Row],[procedure - forfait VdM I]]))</f>
        <v>0</v>
      </c>
      <c r="T6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1079</v>
      </c>
      <c r="U6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60" s="109">
        <f>Tabel_prc_2022[[#This Row],[procedure - totaal extra punten toev. VdM II t.o.v. huidig]] * tarief_huidig</f>
        <v>0</v>
      </c>
    </row>
    <row r="61" spans="2:22" x14ac:dyDescent="0.3">
      <c r="B61" s="1" t="s">
        <v>55</v>
      </c>
      <c r="C61" s="34" t="s">
        <v>5</v>
      </c>
      <c r="D6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232</v>
      </c>
      <c r="E6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2520.9</v>
      </c>
      <c r="F61" s="91">
        <f>SUMIFS(Tabel_VAS2022[aantal_VAS],Tabel_VAS2022[Zaakcode],Tabel_prc_2022[[#This Row],[Zaakcode]],Tabel_VAS2022[Adviesofprocedure],"prc",Tabel_VAS2022[code_punten_forfait],10)</f>
        <v>0</v>
      </c>
      <c r="G61" s="92">
        <f>SUMIFS(Tabel_VAS2022[aantal_VAS],Tabel_VAS2022[Zaakcode],Tabel_prc_2022[[#This Row],[Zaakcode]],Tabel_VAS2022[Adviesofprocedure],"prc",Tabel_VAS2022[code_punten_forfait],11)</f>
        <v>94</v>
      </c>
      <c r="H61" s="92">
        <f>SUMIFS(Tabel_VAS2022[aantal_VAS],Tabel_VAS2022[Zaakcode],Tabel_prc_2022[[#This Row],[Zaakcode]],Tabel_VAS2022[Adviesofprocedure],"prc",Tabel_VAS2022[code_punten_forfait],13)</f>
        <v>9</v>
      </c>
      <c r="I61" s="92">
        <f>SUMIFS(Tabel_VAS2022[aantal_VAS],Tabel_VAS2022[Zaakcode],Tabel_prc_2022[[#This Row],[Zaakcode]],Tabel_VAS2022[Adviesofprocedure],"prc",Tabel_VAS2022[code_punten_forfait],14)</f>
        <v>1</v>
      </c>
      <c r="J61" s="92">
        <f>SUMIFS(Tabel_VAS2022[aantal_VAS],Tabel_VAS2022[Zaakcode],Tabel_prc_2022[[#This Row],[Zaakcode]],Tabel_VAS2022[Adviesofprocedure],"prc",Tabel_VAS2022[code_punten_forfait],12)</f>
        <v>126</v>
      </c>
      <c r="K61" s="92">
        <f>SUMIFS(Tabel_VAS2022[aantal_VAS],Tabel_VAS2022[Zaakcode],Tabel_prc_2022[[#This Row],[Zaakcode]],Tabel_VAS2022[Adviesofprocedure],"prc",Tabel_VAS2022[code_punten_forfait],15)</f>
        <v>2</v>
      </c>
      <c r="L61" s="92">
        <f>SUMIFS(Tabel_VAS2022[aantal_VAS],Tabel_VAS2022[Zaakcode],Tabel_prc_2022[[#This Row],[Zaakcode]],Tabel_VAS2022[Adviesofprocedure],"prc",Tabel_VAS2022[code_punten_forfait],16)</f>
        <v>0</v>
      </c>
      <c r="M61" s="35">
        <f>IFERROR(INDEX(Tabel_forfaits[forfait vanaf 2022],MATCH(Tabel_prc_2022[[#This Row],[Zaakcode]],Tabel_forfaits[Zaakcode],0)), "n.v.t.")</f>
        <v>11</v>
      </c>
      <c r="N61" s="35">
        <f>IFERROR(INDEX(Tabel_forfaits[forfait VdM II voor berekening],MATCH(Tabel_prc_2022[[#This Row],[Zaakcode]],Tabel_forfaits[Zaakcode],0)), "n.v.t.")</f>
        <v>15</v>
      </c>
      <c r="O61" s="36"/>
      <c r="P6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880</v>
      </c>
      <c r="Q6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44</v>
      </c>
      <c r="R6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6</v>
      </c>
      <c r="S61" s="35">
        <f>IF(Tabel_prc_2022[[#This Row],[procedure - forfait VdM II]]="n.v.t.",0,  Tabel_prc_2022[[#This Row],[procedure - aantal 0 punten]] * (Tabel_prc_2022[[#This Row],[procedure - forfait VdM II]] - Tabel_prc_2022[[#This Row],[procedure - forfait VdM I]]))</f>
        <v>0</v>
      </c>
      <c r="T6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232</v>
      </c>
      <c r="U6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930</v>
      </c>
      <c r="V61" s="109">
        <f>Tabel_prc_2022[[#This Row],[procedure - totaal extra punten toev. VdM II t.o.v. huidig]] * tarief_huidig</f>
        <v>142406.715</v>
      </c>
    </row>
    <row r="62" spans="2:22" x14ac:dyDescent="0.3">
      <c r="B62" s="1" t="s">
        <v>56</v>
      </c>
      <c r="C62" s="34" t="s">
        <v>5</v>
      </c>
      <c r="D6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131</v>
      </c>
      <c r="E6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1494</v>
      </c>
      <c r="F62" s="91">
        <f>SUMIFS(Tabel_VAS2022[aantal_VAS],Tabel_VAS2022[Zaakcode],Tabel_prc_2022[[#This Row],[Zaakcode]],Tabel_VAS2022[Adviesofprocedure],"prc",Tabel_VAS2022[code_punten_forfait],10)</f>
        <v>0</v>
      </c>
      <c r="G62" s="92">
        <f>SUMIFS(Tabel_VAS2022[aantal_VAS],Tabel_VAS2022[Zaakcode],Tabel_prc_2022[[#This Row],[Zaakcode]],Tabel_VAS2022[Adviesofprocedure],"prc",Tabel_VAS2022[code_punten_forfait],11)</f>
        <v>74</v>
      </c>
      <c r="H62" s="92">
        <f>SUMIFS(Tabel_VAS2022[aantal_VAS],Tabel_VAS2022[Zaakcode],Tabel_prc_2022[[#This Row],[Zaakcode]],Tabel_VAS2022[Adviesofprocedure],"prc",Tabel_VAS2022[code_punten_forfait],13)</f>
        <v>17</v>
      </c>
      <c r="I62" s="92">
        <f>SUMIFS(Tabel_VAS2022[aantal_VAS],Tabel_VAS2022[Zaakcode],Tabel_prc_2022[[#This Row],[Zaakcode]],Tabel_VAS2022[Adviesofprocedure],"prc",Tabel_VAS2022[code_punten_forfait],14)</f>
        <v>1</v>
      </c>
      <c r="J62" s="92">
        <f>SUMIFS(Tabel_VAS2022[aantal_VAS],Tabel_VAS2022[Zaakcode],Tabel_prc_2022[[#This Row],[Zaakcode]],Tabel_VAS2022[Adviesofprocedure],"prc",Tabel_VAS2022[code_punten_forfait],12)</f>
        <v>35</v>
      </c>
      <c r="K62" s="92">
        <f>SUMIFS(Tabel_VAS2022[aantal_VAS],Tabel_VAS2022[Zaakcode],Tabel_prc_2022[[#This Row],[Zaakcode]],Tabel_VAS2022[Adviesofprocedure],"prc",Tabel_VAS2022[code_punten_forfait],15)</f>
        <v>4</v>
      </c>
      <c r="L62" s="92">
        <f>SUMIFS(Tabel_VAS2022[aantal_VAS],Tabel_VAS2022[Zaakcode],Tabel_prc_2022[[#This Row],[Zaakcode]],Tabel_VAS2022[Adviesofprocedure],"prc",Tabel_VAS2022[code_punten_forfait],16)</f>
        <v>0</v>
      </c>
      <c r="M62" s="35">
        <f>IFERROR(INDEX(Tabel_forfaits[forfait vanaf 2022],MATCH(Tabel_prc_2022[[#This Row],[Zaakcode]],Tabel_forfaits[Zaakcode],0)), "n.v.t.")</f>
        <v>16</v>
      </c>
      <c r="N62" s="35">
        <f>IFERROR(INDEX(Tabel_forfaits[forfait VdM II voor berekening],MATCH(Tabel_prc_2022[[#This Row],[Zaakcode]],Tabel_forfaits[Zaakcode],0)), "n.v.t.")</f>
        <v>16</v>
      </c>
      <c r="O62" s="36"/>
      <c r="P6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6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6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62" s="35">
        <f>IF(Tabel_prc_2022[[#This Row],[procedure - forfait VdM II]]="n.v.t.",0,  Tabel_prc_2022[[#This Row],[procedure - aantal 0 punten]] * (Tabel_prc_2022[[#This Row],[procedure - forfait VdM II]] - Tabel_prc_2022[[#This Row],[procedure - forfait VdM I]]))</f>
        <v>0</v>
      </c>
      <c r="T6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131</v>
      </c>
      <c r="U6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62" s="109">
        <f>Tabel_prc_2022[[#This Row],[procedure - totaal extra punten toev. VdM II t.o.v. huidig]] * tarief_huidig</f>
        <v>0</v>
      </c>
    </row>
    <row r="63" spans="2:22" x14ac:dyDescent="0.3">
      <c r="B63" s="1" t="s">
        <v>57</v>
      </c>
      <c r="C63" s="34" t="s">
        <v>5</v>
      </c>
      <c r="D6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3437</v>
      </c>
      <c r="E6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41684.600000000006</v>
      </c>
      <c r="F63" s="91">
        <f>SUMIFS(Tabel_VAS2022[aantal_VAS],Tabel_VAS2022[Zaakcode],Tabel_prc_2022[[#This Row],[Zaakcode]],Tabel_VAS2022[Adviesofprocedure],"prc",Tabel_VAS2022[code_punten_forfait],10)</f>
        <v>36</v>
      </c>
      <c r="G63" s="91">
        <f>SUMIFS(Tabel_VAS2022[aantal_VAS],Tabel_VAS2022[Zaakcode],Tabel_prc_2022[[#This Row],[Zaakcode]],Tabel_VAS2022[Adviesofprocedure],"prc",Tabel_VAS2022[code_punten_forfait],11)</f>
        <v>1436</v>
      </c>
      <c r="H63" s="92">
        <f>SUMIFS(Tabel_VAS2022[aantal_VAS],Tabel_VAS2022[Zaakcode],Tabel_prc_2022[[#This Row],[Zaakcode]],Tabel_VAS2022[Adviesofprocedure],"prc",Tabel_VAS2022[code_punten_forfait],13)</f>
        <v>250</v>
      </c>
      <c r="I63" s="92">
        <f>SUMIFS(Tabel_VAS2022[aantal_VAS],Tabel_VAS2022[Zaakcode],Tabel_prc_2022[[#This Row],[Zaakcode]],Tabel_VAS2022[Adviesofprocedure],"prc",Tabel_VAS2022[code_punten_forfait],14)</f>
        <v>112</v>
      </c>
      <c r="J63" s="91">
        <f>SUMIFS(Tabel_VAS2022[aantal_VAS],Tabel_VAS2022[Zaakcode],Tabel_prc_2022[[#This Row],[Zaakcode]],Tabel_VAS2022[Adviesofprocedure],"prc",Tabel_VAS2022[code_punten_forfait],12)</f>
        <v>1370</v>
      </c>
      <c r="K63" s="92">
        <f>SUMIFS(Tabel_VAS2022[aantal_VAS],Tabel_VAS2022[Zaakcode],Tabel_prc_2022[[#This Row],[Zaakcode]],Tabel_VAS2022[Adviesofprocedure],"prc",Tabel_VAS2022[code_punten_forfait],15)</f>
        <v>210</v>
      </c>
      <c r="L63" s="92">
        <f>SUMIFS(Tabel_VAS2022[aantal_VAS],Tabel_VAS2022[Zaakcode],Tabel_prc_2022[[#This Row],[Zaakcode]],Tabel_VAS2022[Adviesofprocedure],"prc",Tabel_VAS2022[code_punten_forfait],16)</f>
        <v>23</v>
      </c>
      <c r="M63" s="35">
        <f>IFERROR(INDEX(Tabel_forfaits[forfait vanaf 2022],MATCH(Tabel_prc_2022[[#This Row],[Zaakcode]],Tabel_forfaits[Zaakcode],0)), "n.v.t.")</f>
        <v>15</v>
      </c>
      <c r="N63" s="35">
        <f>IFERROR(INDEX(Tabel_forfaits[forfait VdM II voor berekening],MATCH(Tabel_prc_2022[[#This Row],[Zaakcode]],Tabel_forfaits[Zaakcode],0)), "n.v.t.")</f>
        <v>14</v>
      </c>
      <c r="O63" s="36"/>
      <c r="P6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-2806</v>
      </c>
      <c r="Q6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-460</v>
      </c>
      <c r="R6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-202.5</v>
      </c>
      <c r="S63" s="35">
        <f>IF(Tabel_prc_2022[[#This Row],[procedure - forfait VdM II]]="n.v.t.",0,  Tabel_prc_2022[[#This Row],[procedure - aantal 0 punten]] * (Tabel_prc_2022[[#This Row],[procedure - forfait VdM II]] - Tabel_prc_2022[[#This Row],[procedure - forfait VdM I]]))</f>
        <v>-36</v>
      </c>
      <c r="T6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3401</v>
      </c>
      <c r="U6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-3468.5</v>
      </c>
      <c r="V63" s="109">
        <f>Tabel_prc_2022[[#This Row],[procedure - totaal extra punten toev. VdM II t.o.v. huidig]] * tarief_huidig</f>
        <v>-531115.79674999998</v>
      </c>
    </row>
    <row r="64" spans="2:22" x14ac:dyDescent="0.3">
      <c r="B64" s="1" t="s">
        <v>58</v>
      </c>
      <c r="C64" s="34" t="s">
        <v>5</v>
      </c>
      <c r="D6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269</v>
      </c>
      <c r="E6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3242.6</v>
      </c>
      <c r="F64" s="91">
        <f>SUMIFS(Tabel_VAS2022[aantal_VAS],Tabel_VAS2022[Zaakcode],Tabel_prc_2022[[#This Row],[Zaakcode]],Tabel_VAS2022[Adviesofprocedure],"prc",Tabel_VAS2022[code_punten_forfait],10)</f>
        <v>2</v>
      </c>
      <c r="G64" s="92">
        <f>SUMIFS(Tabel_VAS2022[aantal_VAS],Tabel_VAS2022[Zaakcode],Tabel_prc_2022[[#This Row],[Zaakcode]],Tabel_VAS2022[Adviesofprocedure],"prc",Tabel_VAS2022[code_punten_forfait],11)</f>
        <v>202</v>
      </c>
      <c r="H64" s="92">
        <f>SUMIFS(Tabel_VAS2022[aantal_VAS],Tabel_VAS2022[Zaakcode],Tabel_prc_2022[[#This Row],[Zaakcode]],Tabel_VAS2022[Adviesofprocedure],"prc",Tabel_VAS2022[code_punten_forfait],13)</f>
        <v>3</v>
      </c>
      <c r="I64" s="92">
        <f>SUMIFS(Tabel_VAS2022[aantal_VAS],Tabel_VAS2022[Zaakcode],Tabel_prc_2022[[#This Row],[Zaakcode]],Tabel_VAS2022[Adviesofprocedure],"prc",Tabel_VAS2022[code_punten_forfait],14)</f>
        <v>1</v>
      </c>
      <c r="J64" s="92">
        <f>SUMIFS(Tabel_VAS2022[aantal_VAS],Tabel_VAS2022[Zaakcode],Tabel_prc_2022[[#This Row],[Zaakcode]],Tabel_VAS2022[Adviesofprocedure],"prc",Tabel_VAS2022[code_punten_forfait],12)</f>
        <v>57</v>
      </c>
      <c r="K64" s="92">
        <f>SUMIFS(Tabel_VAS2022[aantal_VAS],Tabel_VAS2022[Zaakcode],Tabel_prc_2022[[#This Row],[Zaakcode]],Tabel_VAS2022[Adviesofprocedure],"prc",Tabel_VAS2022[code_punten_forfait],15)</f>
        <v>4</v>
      </c>
      <c r="L64" s="92">
        <f>SUMIFS(Tabel_VAS2022[aantal_VAS],Tabel_VAS2022[Zaakcode],Tabel_prc_2022[[#This Row],[Zaakcode]],Tabel_VAS2022[Adviesofprocedure],"prc",Tabel_VAS2022[code_punten_forfait],16)</f>
        <v>0</v>
      </c>
      <c r="M64" s="35">
        <f>IFERROR(INDEX(Tabel_forfaits[forfait vanaf 2022],MATCH(Tabel_prc_2022[[#This Row],[Zaakcode]],Tabel_forfaits[Zaakcode],0)), "n.v.t.")</f>
        <v>17</v>
      </c>
      <c r="N64" s="35">
        <f>IFERROR(INDEX(Tabel_forfaits[forfait VdM II voor berekening],MATCH(Tabel_prc_2022[[#This Row],[Zaakcode]],Tabel_forfaits[Zaakcode],0)), "n.v.t.")</f>
        <v>19</v>
      </c>
      <c r="O64" s="36"/>
      <c r="P6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518</v>
      </c>
      <c r="Q6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14</v>
      </c>
      <c r="R6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64" s="35">
        <f>IF(Tabel_prc_2022[[#This Row],[procedure - forfait VdM II]]="n.v.t.",0,  Tabel_prc_2022[[#This Row],[procedure - aantal 0 punten]] * (Tabel_prc_2022[[#This Row],[procedure - forfait VdM II]] - Tabel_prc_2022[[#This Row],[procedure - forfait VdM I]]))</f>
        <v>4</v>
      </c>
      <c r="T6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267</v>
      </c>
      <c r="U6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535</v>
      </c>
      <c r="V64" s="109">
        <f>Tabel_prc_2022[[#This Row],[procedure - totaal extra punten toev. VdM II t.o.v. huidig]] * tarief_huidig</f>
        <v>81922.142499999987</v>
      </c>
    </row>
    <row r="65" spans="2:22" x14ac:dyDescent="0.3">
      <c r="B65" s="1" t="s">
        <v>59</v>
      </c>
      <c r="C65" s="34" t="s">
        <v>5</v>
      </c>
      <c r="D6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1956</v>
      </c>
      <c r="E6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23592.1</v>
      </c>
      <c r="F65" s="91">
        <f>SUMIFS(Tabel_VAS2022[aantal_VAS],Tabel_VAS2022[Zaakcode],Tabel_prc_2022[[#This Row],[Zaakcode]],Tabel_VAS2022[Adviesofprocedure],"prc",Tabel_VAS2022[code_punten_forfait],10)</f>
        <v>1</v>
      </c>
      <c r="G65" s="91">
        <f>SUMIFS(Tabel_VAS2022[aantal_VAS],Tabel_VAS2022[Zaakcode],Tabel_prc_2022[[#This Row],[Zaakcode]],Tabel_VAS2022[Adviesofprocedure],"prc",Tabel_VAS2022[code_punten_forfait],11)</f>
        <v>1348</v>
      </c>
      <c r="H65" s="92">
        <f>SUMIFS(Tabel_VAS2022[aantal_VAS],Tabel_VAS2022[Zaakcode],Tabel_prc_2022[[#This Row],[Zaakcode]],Tabel_VAS2022[Adviesofprocedure],"prc",Tabel_VAS2022[code_punten_forfait],13)</f>
        <v>50</v>
      </c>
      <c r="I65" s="92">
        <f>SUMIFS(Tabel_VAS2022[aantal_VAS],Tabel_VAS2022[Zaakcode],Tabel_prc_2022[[#This Row],[Zaakcode]],Tabel_VAS2022[Adviesofprocedure],"prc",Tabel_VAS2022[code_punten_forfait],14)</f>
        <v>2</v>
      </c>
      <c r="J65" s="92">
        <f>SUMIFS(Tabel_VAS2022[aantal_VAS],Tabel_VAS2022[Zaakcode],Tabel_prc_2022[[#This Row],[Zaakcode]],Tabel_VAS2022[Adviesofprocedure],"prc",Tabel_VAS2022[code_punten_forfait],12)</f>
        <v>501</v>
      </c>
      <c r="K65" s="92">
        <f>SUMIFS(Tabel_VAS2022[aantal_VAS],Tabel_VAS2022[Zaakcode],Tabel_prc_2022[[#This Row],[Zaakcode]],Tabel_VAS2022[Adviesofprocedure],"prc",Tabel_VAS2022[code_punten_forfait],15)</f>
        <v>54</v>
      </c>
      <c r="L65" s="92">
        <f>SUMIFS(Tabel_VAS2022[aantal_VAS],Tabel_VAS2022[Zaakcode],Tabel_prc_2022[[#This Row],[Zaakcode]],Tabel_VAS2022[Adviesofprocedure],"prc",Tabel_VAS2022[code_punten_forfait],16)</f>
        <v>0</v>
      </c>
      <c r="M65" s="35">
        <f>IFERROR(INDEX(Tabel_forfaits[forfait vanaf 2022],MATCH(Tabel_prc_2022[[#This Row],[Zaakcode]],Tabel_forfaits[Zaakcode],0)), "n.v.t.")</f>
        <v>16</v>
      </c>
      <c r="N65" s="35">
        <f>IFERROR(INDEX(Tabel_forfaits[forfait VdM II voor berekening],MATCH(Tabel_prc_2022[[#This Row],[Zaakcode]],Tabel_forfaits[Zaakcode],0)), "n.v.t.")</f>
        <v>19</v>
      </c>
      <c r="O65" s="36"/>
      <c r="P6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5547</v>
      </c>
      <c r="Q6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312</v>
      </c>
      <c r="R6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9</v>
      </c>
      <c r="S65" s="35">
        <f>IF(Tabel_prc_2022[[#This Row],[procedure - forfait VdM II]]="n.v.t.",0,  Tabel_prc_2022[[#This Row],[procedure - aantal 0 punten]] * (Tabel_prc_2022[[#This Row],[procedure - forfait VdM II]] - Tabel_prc_2022[[#This Row],[procedure - forfait VdM I]]))</f>
        <v>3</v>
      </c>
      <c r="T6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1955</v>
      </c>
      <c r="U6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5868</v>
      </c>
      <c r="V65" s="109">
        <f>Tabel_prc_2022[[#This Row],[procedure - totaal extra punten toev. VdM II t.o.v. huidig]] * tarief_huidig</f>
        <v>898540.43399999989</v>
      </c>
    </row>
    <row r="66" spans="2:22" x14ac:dyDescent="0.3">
      <c r="B66" s="1" t="s">
        <v>60</v>
      </c>
      <c r="C66" s="34" t="s">
        <v>5</v>
      </c>
      <c r="D6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1506</v>
      </c>
      <c r="E6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6596.7</v>
      </c>
      <c r="F66" s="91">
        <f>SUMIFS(Tabel_VAS2022[aantal_VAS],Tabel_VAS2022[Zaakcode],Tabel_prc_2022[[#This Row],[Zaakcode]],Tabel_VAS2022[Adviesofprocedure],"prc",Tabel_VAS2022[code_punten_forfait],10)</f>
        <v>0</v>
      </c>
      <c r="G66" s="92">
        <f>SUMIFS(Tabel_VAS2022[aantal_VAS],Tabel_VAS2022[Zaakcode],Tabel_prc_2022[[#This Row],[Zaakcode]],Tabel_VAS2022[Adviesofprocedure],"prc",Tabel_VAS2022[code_punten_forfait],11)</f>
        <v>219</v>
      </c>
      <c r="H66" s="92">
        <f>SUMIFS(Tabel_VAS2022[aantal_VAS],Tabel_VAS2022[Zaakcode],Tabel_prc_2022[[#This Row],[Zaakcode]],Tabel_VAS2022[Adviesofprocedure],"prc",Tabel_VAS2022[code_punten_forfait],13)</f>
        <v>193</v>
      </c>
      <c r="I66" s="92">
        <f>SUMIFS(Tabel_VAS2022[aantal_VAS],Tabel_VAS2022[Zaakcode],Tabel_prc_2022[[#This Row],[Zaakcode]],Tabel_VAS2022[Adviesofprocedure],"prc",Tabel_VAS2022[code_punten_forfait],14)</f>
        <v>0</v>
      </c>
      <c r="J66" s="92">
        <f>SUMIFS(Tabel_VAS2022[aantal_VAS],Tabel_VAS2022[Zaakcode],Tabel_prc_2022[[#This Row],[Zaakcode]],Tabel_VAS2022[Adviesofprocedure],"prc",Tabel_VAS2022[code_punten_forfait],12)</f>
        <v>50</v>
      </c>
      <c r="K66" s="92">
        <f>SUMIFS(Tabel_VAS2022[aantal_VAS],Tabel_VAS2022[Zaakcode],Tabel_prc_2022[[#This Row],[Zaakcode]],Tabel_VAS2022[Adviesofprocedure],"prc",Tabel_VAS2022[code_punten_forfait],15)</f>
        <v>812</v>
      </c>
      <c r="L66" s="92">
        <f>SUMIFS(Tabel_VAS2022[aantal_VAS],Tabel_VAS2022[Zaakcode],Tabel_prc_2022[[#This Row],[Zaakcode]],Tabel_VAS2022[Adviesofprocedure],"prc",Tabel_VAS2022[code_punten_forfait],16)</f>
        <v>232</v>
      </c>
      <c r="M66" s="35">
        <f>IFERROR(INDEX(Tabel_forfaits[forfait vanaf 2022],MATCH(Tabel_prc_2022[[#This Row],[Zaakcode]],Tabel_forfaits[Zaakcode],0)), "n.v.t.")</f>
        <v>11</v>
      </c>
      <c r="N66" s="35">
        <f>IFERROR(INDEX(Tabel_forfaits[forfait VdM II voor berekening],MATCH(Tabel_prc_2022[[#This Row],[Zaakcode]],Tabel_forfaits[Zaakcode],0)), "n.v.t.")</f>
        <v>13</v>
      </c>
      <c r="O66" s="36"/>
      <c r="P6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538</v>
      </c>
      <c r="Q6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2010</v>
      </c>
      <c r="R6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696</v>
      </c>
      <c r="S66" s="35">
        <f>IF(Tabel_prc_2022[[#This Row],[procedure - forfait VdM II]]="n.v.t.",0,  Tabel_prc_2022[[#This Row],[procedure - aantal 0 punten]] * (Tabel_prc_2022[[#This Row],[procedure - forfait VdM II]] - Tabel_prc_2022[[#This Row],[procedure - forfait VdM I]]))</f>
        <v>0</v>
      </c>
      <c r="T6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1506</v>
      </c>
      <c r="U6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3244</v>
      </c>
      <c r="V66" s="109">
        <f>Tabel_prc_2022[[#This Row],[procedure - totaal extra punten toev. VdM II t.o.v. huidig]] * tarief_huidig</f>
        <v>496739.12199999997</v>
      </c>
    </row>
    <row r="67" spans="2:22" x14ac:dyDescent="0.3">
      <c r="B67" s="1" t="s">
        <v>61</v>
      </c>
      <c r="C67" s="34" t="s">
        <v>5</v>
      </c>
      <c r="D6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76</v>
      </c>
      <c r="E6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882</v>
      </c>
      <c r="F67" s="91">
        <f>SUMIFS(Tabel_VAS2022[aantal_VAS],Tabel_VAS2022[Zaakcode],Tabel_prc_2022[[#This Row],[Zaakcode]],Tabel_VAS2022[Adviesofprocedure],"prc",Tabel_VAS2022[code_punten_forfait],10)</f>
        <v>0</v>
      </c>
      <c r="G67" s="92">
        <f>SUMIFS(Tabel_VAS2022[aantal_VAS],Tabel_VAS2022[Zaakcode],Tabel_prc_2022[[#This Row],[Zaakcode]],Tabel_VAS2022[Adviesofprocedure],"prc",Tabel_VAS2022[code_punten_forfait],11)</f>
        <v>56</v>
      </c>
      <c r="H67" s="92">
        <f>SUMIFS(Tabel_VAS2022[aantal_VAS],Tabel_VAS2022[Zaakcode],Tabel_prc_2022[[#This Row],[Zaakcode]],Tabel_VAS2022[Adviesofprocedure],"prc",Tabel_VAS2022[code_punten_forfait],13)</f>
        <v>6</v>
      </c>
      <c r="I67" s="92">
        <f>SUMIFS(Tabel_VAS2022[aantal_VAS],Tabel_VAS2022[Zaakcode],Tabel_prc_2022[[#This Row],[Zaakcode]],Tabel_VAS2022[Adviesofprocedure],"prc",Tabel_VAS2022[code_punten_forfait],14)</f>
        <v>0</v>
      </c>
      <c r="J67" s="92">
        <f>SUMIFS(Tabel_VAS2022[aantal_VAS],Tabel_VAS2022[Zaakcode],Tabel_prc_2022[[#This Row],[Zaakcode]],Tabel_VAS2022[Adviesofprocedure],"prc",Tabel_VAS2022[code_punten_forfait],12)</f>
        <v>13</v>
      </c>
      <c r="K67" s="92">
        <f>SUMIFS(Tabel_VAS2022[aantal_VAS],Tabel_VAS2022[Zaakcode],Tabel_prc_2022[[#This Row],[Zaakcode]],Tabel_VAS2022[Adviesofprocedure],"prc",Tabel_VAS2022[code_punten_forfait],15)</f>
        <v>1</v>
      </c>
      <c r="L67" s="92">
        <f>SUMIFS(Tabel_VAS2022[aantal_VAS],Tabel_VAS2022[Zaakcode],Tabel_prc_2022[[#This Row],[Zaakcode]],Tabel_VAS2022[Adviesofprocedure],"prc",Tabel_VAS2022[code_punten_forfait],16)</f>
        <v>0</v>
      </c>
      <c r="M67" s="35">
        <f>IFERROR(INDEX(Tabel_forfaits[forfait vanaf 2022],MATCH(Tabel_prc_2022[[#This Row],[Zaakcode]],Tabel_forfaits[Zaakcode],0)), "n.v.t.")</f>
        <v>18</v>
      </c>
      <c r="N67" s="35">
        <f>IFERROR(INDEX(Tabel_forfaits[forfait VdM II voor berekening],MATCH(Tabel_prc_2022[[#This Row],[Zaakcode]],Tabel_forfaits[Zaakcode],0)), "n.v.t.")</f>
        <v>18</v>
      </c>
      <c r="O67" s="36"/>
      <c r="P6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6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6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67" s="35">
        <f>IF(Tabel_prc_2022[[#This Row],[procedure - forfait VdM II]]="n.v.t.",0,  Tabel_prc_2022[[#This Row],[procedure - aantal 0 punten]] * (Tabel_prc_2022[[#This Row],[procedure - forfait VdM II]] - Tabel_prc_2022[[#This Row],[procedure - forfait VdM I]]))</f>
        <v>0</v>
      </c>
      <c r="T6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76</v>
      </c>
      <c r="U6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67" s="109">
        <f>Tabel_prc_2022[[#This Row],[procedure - totaal extra punten toev. VdM II t.o.v. huidig]] * tarief_huidig</f>
        <v>0</v>
      </c>
    </row>
    <row r="68" spans="2:22" x14ac:dyDescent="0.3">
      <c r="B68" s="1" t="s">
        <v>62</v>
      </c>
      <c r="C68" s="34" t="s">
        <v>5</v>
      </c>
      <c r="D6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8</v>
      </c>
      <c r="E6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88</v>
      </c>
      <c r="F68" s="91">
        <f>SUMIFS(Tabel_VAS2022[aantal_VAS],Tabel_VAS2022[Zaakcode],Tabel_prc_2022[[#This Row],[Zaakcode]],Tabel_VAS2022[Adviesofprocedure],"prc",Tabel_VAS2022[code_punten_forfait],10)</f>
        <v>0</v>
      </c>
      <c r="G68" s="92">
        <f>SUMIFS(Tabel_VAS2022[aantal_VAS],Tabel_VAS2022[Zaakcode],Tabel_prc_2022[[#This Row],[Zaakcode]],Tabel_VAS2022[Adviesofprocedure],"prc",Tabel_VAS2022[code_punten_forfait],11)</f>
        <v>0</v>
      </c>
      <c r="H68" s="92">
        <f>SUMIFS(Tabel_VAS2022[aantal_VAS],Tabel_VAS2022[Zaakcode],Tabel_prc_2022[[#This Row],[Zaakcode]],Tabel_VAS2022[Adviesofprocedure],"prc",Tabel_VAS2022[code_punten_forfait],13)</f>
        <v>0</v>
      </c>
      <c r="I68" s="92">
        <f>SUMIFS(Tabel_VAS2022[aantal_VAS],Tabel_VAS2022[Zaakcode],Tabel_prc_2022[[#This Row],[Zaakcode]],Tabel_VAS2022[Adviesofprocedure],"prc",Tabel_VAS2022[code_punten_forfait],14)</f>
        <v>4</v>
      </c>
      <c r="J68" s="92">
        <f>SUMIFS(Tabel_VAS2022[aantal_VAS],Tabel_VAS2022[Zaakcode],Tabel_prc_2022[[#This Row],[Zaakcode]],Tabel_VAS2022[Adviesofprocedure],"prc",Tabel_VAS2022[code_punten_forfait],12)</f>
        <v>0</v>
      </c>
      <c r="K68" s="92">
        <f>SUMIFS(Tabel_VAS2022[aantal_VAS],Tabel_VAS2022[Zaakcode],Tabel_prc_2022[[#This Row],[Zaakcode]],Tabel_VAS2022[Adviesofprocedure],"prc",Tabel_VAS2022[code_punten_forfait],15)</f>
        <v>0</v>
      </c>
      <c r="L68" s="92">
        <f>SUMIFS(Tabel_VAS2022[aantal_VAS],Tabel_VAS2022[Zaakcode],Tabel_prc_2022[[#This Row],[Zaakcode]],Tabel_VAS2022[Adviesofprocedure],"prc",Tabel_VAS2022[code_punten_forfait],16)</f>
        <v>4</v>
      </c>
      <c r="M68" s="35" t="str">
        <f>IFERROR(INDEX(Tabel_forfaits[forfait vanaf 2022],MATCH(Tabel_prc_2022[[#This Row],[Zaakcode]],Tabel_forfaits[Zaakcode],0)), "n.v.t.")</f>
        <v>n.v.t.</v>
      </c>
      <c r="N68" s="35" t="str">
        <f>IFERROR(INDEX(Tabel_forfaits[forfait VdM II voor berekening],MATCH(Tabel_prc_2022[[#This Row],[Zaakcode]],Tabel_forfaits[Zaakcode],0)), "n.v.t.")</f>
        <v>n.v.t.</v>
      </c>
      <c r="O68" s="36"/>
      <c r="P6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6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6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68" s="35">
        <f>IF(Tabel_prc_2022[[#This Row],[procedure - forfait VdM II]]="n.v.t.",0,  Tabel_prc_2022[[#This Row],[procedure - aantal 0 punten]] * (Tabel_prc_2022[[#This Row],[procedure - forfait VdM II]] - Tabel_prc_2022[[#This Row],[procedure - forfait VdM I]]))</f>
        <v>0</v>
      </c>
      <c r="T6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8</v>
      </c>
      <c r="U6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68" s="109">
        <f>Tabel_prc_2022[[#This Row],[procedure - totaal extra punten toev. VdM II t.o.v. huidig]] * tarief_huidig</f>
        <v>0</v>
      </c>
    </row>
    <row r="69" spans="2:22" x14ac:dyDescent="0.3">
      <c r="B69" s="1" t="s">
        <v>64</v>
      </c>
      <c r="C69" s="34" t="s">
        <v>5</v>
      </c>
      <c r="D6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36</v>
      </c>
      <c r="E6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404.2</v>
      </c>
      <c r="F69" s="91">
        <f>SUMIFS(Tabel_VAS2022[aantal_VAS],Tabel_VAS2022[Zaakcode],Tabel_prc_2022[[#This Row],[Zaakcode]],Tabel_VAS2022[Adviesofprocedure],"prc",Tabel_VAS2022[code_punten_forfait],10)</f>
        <v>0</v>
      </c>
      <c r="G69" s="92">
        <f>SUMIFS(Tabel_VAS2022[aantal_VAS],Tabel_VAS2022[Zaakcode],Tabel_prc_2022[[#This Row],[Zaakcode]],Tabel_VAS2022[Adviesofprocedure],"prc",Tabel_VAS2022[code_punten_forfait],11)</f>
        <v>29</v>
      </c>
      <c r="H69" s="92">
        <f>SUMIFS(Tabel_VAS2022[aantal_VAS],Tabel_VAS2022[Zaakcode],Tabel_prc_2022[[#This Row],[Zaakcode]],Tabel_VAS2022[Adviesofprocedure],"prc",Tabel_VAS2022[code_punten_forfait],13)</f>
        <v>4</v>
      </c>
      <c r="I69" s="92">
        <f>SUMIFS(Tabel_VAS2022[aantal_VAS],Tabel_VAS2022[Zaakcode],Tabel_prc_2022[[#This Row],[Zaakcode]],Tabel_VAS2022[Adviesofprocedure],"prc",Tabel_VAS2022[code_punten_forfait],14)</f>
        <v>1</v>
      </c>
      <c r="J69" s="92">
        <f>SUMIFS(Tabel_VAS2022[aantal_VAS],Tabel_VAS2022[Zaakcode],Tabel_prc_2022[[#This Row],[Zaakcode]],Tabel_VAS2022[Adviesofprocedure],"prc",Tabel_VAS2022[code_punten_forfait],12)</f>
        <v>2</v>
      </c>
      <c r="K69" s="92">
        <f>SUMIFS(Tabel_VAS2022[aantal_VAS],Tabel_VAS2022[Zaakcode],Tabel_prc_2022[[#This Row],[Zaakcode]],Tabel_VAS2022[Adviesofprocedure],"prc",Tabel_VAS2022[code_punten_forfait],15)</f>
        <v>0</v>
      </c>
      <c r="L69" s="92">
        <f>SUMIFS(Tabel_VAS2022[aantal_VAS],Tabel_VAS2022[Zaakcode],Tabel_prc_2022[[#This Row],[Zaakcode]],Tabel_VAS2022[Adviesofprocedure],"prc",Tabel_VAS2022[code_punten_forfait],16)</f>
        <v>0</v>
      </c>
      <c r="M69" s="35" t="str">
        <f>IFERROR(INDEX(Tabel_forfaits[forfait vanaf 2022],MATCH(Tabel_prc_2022[[#This Row],[Zaakcode]],Tabel_forfaits[Zaakcode],0)), "n.v.t.")</f>
        <v>n.v.t.</v>
      </c>
      <c r="N69" s="35" t="str">
        <f>IFERROR(INDEX(Tabel_forfaits[forfait VdM II voor berekening],MATCH(Tabel_prc_2022[[#This Row],[Zaakcode]],Tabel_forfaits[Zaakcode],0)), "n.v.t.")</f>
        <v>n.v.t.</v>
      </c>
      <c r="O69" s="36"/>
      <c r="P6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6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6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69" s="35">
        <f>IF(Tabel_prc_2022[[#This Row],[procedure - forfait VdM II]]="n.v.t.",0,  Tabel_prc_2022[[#This Row],[procedure - aantal 0 punten]] * (Tabel_prc_2022[[#This Row],[procedure - forfait VdM II]] - Tabel_prc_2022[[#This Row],[procedure - forfait VdM I]]))</f>
        <v>0</v>
      </c>
      <c r="T6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36</v>
      </c>
      <c r="U6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69" s="109">
        <f>Tabel_prc_2022[[#This Row],[procedure - totaal extra punten toev. VdM II t.o.v. huidig]] * tarief_huidig</f>
        <v>0</v>
      </c>
    </row>
    <row r="70" spans="2:22" x14ac:dyDescent="0.3">
      <c r="B70" s="1" t="s">
        <v>65</v>
      </c>
      <c r="C70" s="34" t="s">
        <v>5</v>
      </c>
      <c r="D7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7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70" s="91">
        <f>SUMIFS(Tabel_VAS2022[aantal_VAS],Tabel_VAS2022[Zaakcode],Tabel_prc_2022[[#This Row],[Zaakcode]],Tabel_VAS2022[Adviesofprocedure],"prc",Tabel_VAS2022[code_punten_forfait],10)</f>
        <v>0</v>
      </c>
      <c r="G70" s="92">
        <f>SUMIFS(Tabel_VAS2022[aantal_VAS],Tabel_VAS2022[Zaakcode],Tabel_prc_2022[[#This Row],[Zaakcode]],Tabel_VAS2022[Adviesofprocedure],"prc",Tabel_VAS2022[code_punten_forfait],11)</f>
        <v>0</v>
      </c>
      <c r="H70" s="92">
        <f>SUMIFS(Tabel_VAS2022[aantal_VAS],Tabel_VAS2022[Zaakcode],Tabel_prc_2022[[#This Row],[Zaakcode]],Tabel_VAS2022[Adviesofprocedure],"prc",Tabel_VAS2022[code_punten_forfait],13)</f>
        <v>0</v>
      </c>
      <c r="I70" s="92">
        <f>SUMIFS(Tabel_VAS2022[aantal_VAS],Tabel_VAS2022[Zaakcode],Tabel_prc_2022[[#This Row],[Zaakcode]],Tabel_VAS2022[Adviesofprocedure],"prc",Tabel_VAS2022[code_punten_forfait],14)</f>
        <v>0</v>
      </c>
      <c r="J70" s="92">
        <f>SUMIFS(Tabel_VAS2022[aantal_VAS],Tabel_VAS2022[Zaakcode],Tabel_prc_2022[[#This Row],[Zaakcode]],Tabel_VAS2022[Adviesofprocedure],"prc",Tabel_VAS2022[code_punten_forfait],12)</f>
        <v>0</v>
      </c>
      <c r="K70" s="92">
        <f>SUMIFS(Tabel_VAS2022[aantal_VAS],Tabel_VAS2022[Zaakcode],Tabel_prc_2022[[#This Row],[Zaakcode]],Tabel_VAS2022[Adviesofprocedure],"prc",Tabel_VAS2022[code_punten_forfait],15)</f>
        <v>0</v>
      </c>
      <c r="L70" s="92">
        <f>SUMIFS(Tabel_VAS2022[aantal_VAS],Tabel_VAS2022[Zaakcode],Tabel_prc_2022[[#This Row],[Zaakcode]],Tabel_VAS2022[Adviesofprocedure],"prc",Tabel_VAS2022[code_punten_forfait],16)</f>
        <v>0</v>
      </c>
      <c r="M70" s="35" t="str">
        <f>IFERROR(INDEX(Tabel_forfaits[forfait vanaf 2022],MATCH(Tabel_prc_2022[[#This Row],[Zaakcode]],Tabel_forfaits[Zaakcode],0)), "n.v.t.")</f>
        <v>n.v.t.</v>
      </c>
      <c r="N70" s="35" t="str">
        <f>IFERROR(INDEX(Tabel_forfaits[forfait VdM II voor berekening],MATCH(Tabel_prc_2022[[#This Row],[Zaakcode]],Tabel_forfaits[Zaakcode],0)), "n.v.t.")</f>
        <v>n.v.t.</v>
      </c>
      <c r="O70" s="36"/>
      <c r="P7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7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7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70" s="35">
        <f>IF(Tabel_prc_2022[[#This Row],[procedure - forfait VdM II]]="n.v.t.",0,  Tabel_prc_2022[[#This Row],[procedure - aantal 0 punten]] * (Tabel_prc_2022[[#This Row],[procedure - forfait VdM II]] - Tabel_prc_2022[[#This Row],[procedure - forfait VdM I]]))</f>
        <v>0</v>
      </c>
      <c r="T7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7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70" s="109">
        <f>Tabel_prc_2022[[#This Row],[procedure - totaal extra punten toev. VdM II t.o.v. huidig]] * tarief_huidig</f>
        <v>0</v>
      </c>
    </row>
    <row r="71" spans="2:22" x14ac:dyDescent="0.3">
      <c r="B71" s="1" t="s">
        <v>66</v>
      </c>
      <c r="C71" s="34" t="s">
        <v>5</v>
      </c>
      <c r="D7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7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71" s="91">
        <f>SUMIFS(Tabel_VAS2022[aantal_VAS],Tabel_VAS2022[Zaakcode],Tabel_prc_2022[[#This Row],[Zaakcode]],Tabel_VAS2022[Adviesofprocedure],"prc",Tabel_VAS2022[code_punten_forfait],10)</f>
        <v>0</v>
      </c>
      <c r="G71" s="92">
        <f>SUMIFS(Tabel_VAS2022[aantal_VAS],Tabel_VAS2022[Zaakcode],Tabel_prc_2022[[#This Row],[Zaakcode]],Tabel_VAS2022[Adviesofprocedure],"prc",Tabel_VAS2022[code_punten_forfait],11)</f>
        <v>0</v>
      </c>
      <c r="H71" s="92">
        <f>SUMIFS(Tabel_VAS2022[aantal_VAS],Tabel_VAS2022[Zaakcode],Tabel_prc_2022[[#This Row],[Zaakcode]],Tabel_VAS2022[Adviesofprocedure],"prc",Tabel_VAS2022[code_punten_forfait],13)</f>
        <v>0</v>
      </c>
      <c r="I71" s="92">
        <f>SUMIFS(Tabel_VAS2022[aantal_VAS],Tabel_VAS2022[Zaakcode],Tabel_prc_2022[[#This Row],[Zaakcode]],Tabel_VAS2022[Adviesofprocedure],"prc",Tabel_VAS2022[code_punten_forfait],14)</f>
        <v>0</v>
      </c>
      <c r="J71" s="92">
        <f>SUMIFS(Tabel_VAS2022[aantal_VAS],Tabel_VAS2022[Zaakcode],Tabel_prc_2022[[#This Row],[Zaakcode]],Tabel_VAS2022[Adviesofprocedure],"prc",Tabel_VAS2022[code_punten_forfait],12)</f>
        <v>0</v>
      </c>
      <c r="K71" s="92">
        <f>SUMIFS(Tabel_VAS2022[aantal_VAS],Tabel_VAS2022[Zaakcode],Tabel_prc_2022[[#This Row],[Zaakcode]],Tabel_VAS2022[Adviesofprocedure],"prc",Tabel_VAS2022[code_punten_forfait],15)</f>
        <v>0</v>
      </c>
      <c r="L71" s="92">
        <f>SUMIFS(Tabel_VAS2022[aantal_VAS],Tabel_VAS2022[Zaakcode],Tabel_prc_2022[[#This Row],[Zaakcode]],Tabel_VAS2022[Adviesofprocedure],"prc",Tabel_VAS2022[code_punten_forfait],16)</f>
        <v>0</v>
      </c>
      <c r="M71" s="35" t="str">
        <f>IFERROR(INDEX(Tabel_forfaits[forfait vanaf 2022],MATCH(Tabel_prc_2022[[#This Row],[Zaakcode]],Tabel_forfaits[Zaakcode],0)), "n.v.t.")</f>
        <v>n.v.t.</v>
      </c>
      <c r="N71" s="35" t="str">
        <f>IFERROR(INDEX(Tabel_forfaits[forfait VdM II voor berekening],MATCH(Tabel_prc_2022[[#This Row],[Zaakcode]],Tabel_forfaits[Zaakcode],0)), "n.v.t.")</f>
        <v>n.v.t.</v>
      </c>
      <c r="O71" s="36"/>
      <c r="P7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7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7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71" s="35">
        <f>IF(Tabel_prc_2022[[#This Row],[procedure - forfait VdM II]]="n.v.t.",0,  Tabel_prc_2022[[#This Row],[procedure - aantal 0 punten]] * (Tabel_prc_2022[[#This Row],[procedure - forfait VdM II]] - Tabel_prc_2022[[#This Row],[procedure - forfait VdM I]]))</f>
        <v>0</v>
      </c>
      <c r="T7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7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71" s="109">
        <f>Tabel_prc_2022[[#This Row],[procedure - totaal extra punten toev. VdM II t.o.v. huidig]] * tarief_huidig</f>
        <v>0</v>
      </c>
    </row>
    <row r="72" spans="2:22" x14ac:dyDescent="0.3">
      <c r="B72" s="1" t="s">
        <v>67</v>
      </c>
      <c r="C72" s="34" t="s">
        <v>5</v>
      </c>
      <c r="D7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v>
      </c>
      <c r="E7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11</v>
      </c>
      <c r="F72" s="91">
        <f>SUMIFS(Tabel_VAS2022[aantal_VAS],Tabel_VAS2022[Zaakcode],Tabel_prc_2022[[#This Row],[Zaakcode]],Tabel_VAS2022[Adviesofprocedure],"prc",Tabel_VAS2022[code_punten_forfait],10)</f>
        <v>0</v>
      </c>
      <c r="G72" s="92">
        <f>SUMIFS(Tabel_VAS2022[aantal_VAS],Tabel_VAS2022[Zaakcode],Tabel_prc_2022[[#This Row],[Zaakcode]],Tabel_VAS2022[Adviesofprocedure],"prc",Tabel_VAS2022[code_punten_forfait],11)</f>
        <v>1</v>
      </c>
      <c r="H72" s="92">
        <f>SUMIFS(Tabel_VAS2022[aantal_VAS],Tabel_VAS2022[Zaakcode],Tabel_prc_2022[[#This Row],[Zaakcode]],Tabel_VAS2022[Adviesofprocedure],"prc",Tabel_VAS2022[code_punten_forfait],13)</f>
        <v>0</v>
      </c>
      <c r="I72" s="92">
        <f>SUMIFS(Tabel_VAS2022[aantal_VAS],Tabel_VAS2022[Zaakcode],Tabel_prc_2022[[#This Row],[Zaakcode]],Tabel_VAS2022[Adviesofprocedure],"prc",Tabel_VAS2022[code_punten_forfait],14)</f>
        <v>0</v>
      </c>
      <c r="J72" s="92">
        <f>SUMIFS(Tabel_VAS2022[aantal_VAS],Tabel_VAS2022[Zaakcode],Tabel_prc_2022[[#This Row],[Zaakcode]],Tabel_VAS2022[Adviesofprocedure],"prc",Tabel_VAS2022[code_punten_forfait],12)</f>
        <v>0</v>
      </c>
      <c r="K72" s="92">
        <f>SUMIFS(Tabel_VAS2022[aantal_VAS],Tabel_VAS2022[Zaakcode],Tabel_prc_2022[[#This Row],[Zaakcode]],Tabel_VAS2022[Adviesofprocedure],"prc",Tabel_VAS2022[code_punten_forfait],15)</f>
        <v>0</v>
      </c>
      <c r="L72" s="92">
        <f>SUMIFS(Tabel_VAS2022[aantal_VAS],Tabel_VAS2022[Zaakcode],Tabel_prc_2022[[#This Row],[Zaakcode]],Tabel_VAS2022[Adviesofprocedure],"prc",Tabel_VAS2022[code_punten_forfait],16)</f>
        <v>0</v>
      </c>
      <c r="M72" s="35">
        <f>IFERROR(INDEX(Tabel_forfaits[forfait vanaf 2022],MATCH(Tabel_prc_2022[[#This Row],[Zaakcode]],Tabel_forfaits[Zaakcode],0)), "n.v.t.")</f>
        <v>14</v>
      </c>
      <c r="N72" s="35">
        <f>IFERROR(INDEX(Tabel_forfaits[forfait VdM II voor berekening],MATCH(Tabel_prc_2022[[#This Row],[Zaakcode]],Tabel_forfaits[Zaakcode],0)), "n.v.t.")</f>
        <v>14</v>
      </c>
      <c r="O72" s="36"/>
      <c r="P7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7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7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72" s="35">
        <f>IF(Tabel_prc_2022[[#This Row],[procedure - forfait VdM II]]="n.v.t.",0,  Tabel_prc_2022[[#This Row],[procedure - aantal 0 punten]] * (Tabel_prc_2022[[#This Row],[procedure - forfait VdM II]] - Tabel_prc_2022[[#This Row],[procedure - forfait VdM I]]))</f>
        <v>0</v>
      </c>
      <c r="T7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v>
      </c>
      <c r="U7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72" s="109">
        <f>Tabel_prc_2022[[#This Row],[procedure - totaal extra punten toev. VdM II t.o.v. huidig]] * tarief_huidig</f>
        <v>0</v>
      </c>
    </row>
    <row r="73" spans="2:22" x14ac:dyDescent="0.3">
      <c r="B73" s="1" t="s">
        <v>68</v>
      </c>
      <c r="C73" s="34" t="s">
        <v>5</v>
      </c>
      <c r="D7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6285</v>
      </c>
      <c r="E7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63722.8</v>
      </c>
      <c r="F73" s="91">
        <f>SUMIFS(Tabel_VAS2022[aantal_VAS],Tabel_VAS2022[Zaakcode],Tabel_prc_2022[[#This Row],[Zaakcode]],Tabel_VAS2022[Adviesofprocedure],"prc",Tabel_VAS2022[code_punten_forfait],10)</f>
        <v>1</v>
      </c>
      <c r="G73" s="91">
        <f>SUMIFS(Tabel_VAS2022[aantal_VAS],Tabel_VAS2022[Zaakcode],Tabel_prc_2022[[#This Row],[Zaakcode]],Tabel_VAS2022[Adviesofprocedure],"prc",Tabel_VAS2022[code_punten_forfait],11)</f>
        <v>6011</v>
      </c>
      <c r="H73" s="92">
        <f>SUMIFS(Tabel_VAS2022[aantal_VAS],Tabel_VAS2022[Zaakcode],Tabel_prc_2022[[#This Row],[Zaakcode]],Tabel_VAS2022[Adviesofprocedure],"prc",Tabel_VAS2022[code_punten_forfait],13)</f>
        <v>14</v>
      </c>
      <c r="I73" s="92">
        <f>SUMIFS(Tabel_VAS2022[aantal_VAS],Tabel_VAS2022[Zaakcode],Tabel_prc_2022[[#This Row],[Zaakcode]],Tabel_VAS2022[Adviesofprocedure],"prc",Tabel_VAS2022[code_punten_forfait],14)</f>
        <v>255</v>
      </c>
      <c r="J73" s="92">
        <f>SUMIFS(Tabel_VAS2022[aantal_VAS],Tabel_VAS2022[Zaakcode],Tabel_prc_2022[[#This Row],[Zaakcode]],Tabel_VAS2022[Adviesofprocedure],"prc",Tabel_VAS2022[code_punten_forfait],12)</f>
        <v>0</v>
      </c>
      <c r="K73" s="92">
        <f>SUMIFS(Tabel_VAS2022[aantal_VAS],Tabel_VAS2022[Zaakcode],Tabel_prc_2022[[#This Row],[Zaakcode]],Tabel_VAS2022[Adviesofprocedure],"prc",Tabel_VAS2022[code_punten_forfait],15)</f>
        <v>4</v>
      </c>
      <c r="L73" s="92">
        <f>SUMIFS(Tabel_VAS2022[aantal_VAS],Tabel_VAS2022[Zaakcode],Tabel_prc_2022[[#This Row],[Zaakcode]],Tabel_VAS2022[Adviesofprocedure],"prc",Tabel_VAS2022[code_punten_forfait],16)</f>
        <v>0</v>
      </c>
      <c r="M73" s="35">
        <f>IFERROR(INDEX(Tabel_forfaits[forfait vanaf 2022],MATCH(Tabel_prc_2022[[#This Row],[Zaakcode]],Tabel_forfaits[Zaakcode],0)), "n.v.t.")</f>
        <v>13</v>
      </c>
      <c r="N73" s="35">
        <f>IFERROR(INDEX(Tabel_forfaits[forfait VdM II voor berekening],MATCH(Tabel_prc_2022[[#This Row],[Zaakcode]],Tabel_forfaits[Zaakcode],0)), "n.v.t.")</f>
        <v>12</v>
      </c>
      <c r="O73" s="36"/>
      <c r="P7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-6011</v>
      </c>
      <c r="Q7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-18</v>
      </c>
      <c r="R7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-382.5</v>
      </c>
      <c r="S73" s="35">
        <f>IF(Tabel_prc_2022[[#This Row],[procedure - forfait VdM II]]="n.v.t.",0,  Tabel_prc_2022[[#This Row],[procedure - aantal 0 punten]] * (Tabel_prc_2022[[#This Row],[procedure - forfait VdM II]] - Tabel_prc_2022[[#This Row],[procedure - forfait VdM I]]))</f>
        <v>-1</v>
      </c>
      <c r="T7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6284</v>
      </c>
      <c r="U7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-6411.5</v>
      </c>
      <c r="V73" s="109">
        <f>Tabel_prc_2022[[#This Row],[procedure - totaal extra punten toev. VdM II t.o.v. huidig]] * tarief_huidig</f>
        <v>-981764.14324999996</v>
      </c>
    </row>
    <row r="74" spans="2:22" x14ac:dyDescent="0.3">
      <c r="B74" s="1" t="s">
        <v>69</v>
      </c>
      <c r="C74" s="34" t="s">
        <v>5</v>
      </c>
      <c r="D7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48</v>
      </c>
      <c r="E7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486.5</v>
      </c>
      <c r="F74" s="91">
        <f>SUMIFS(Tabel_VAS2022[aantal_VAS],Tabel_VAS2022[Zaakcode],Tabel_prc_2022[[#This Row],[Zaakcode]],Tabel_VAS2022[Adviesofprocedure],"prc",Tabel_VAS2022[code_punten_forfait],10)</f>
        <v>0</v>
      </c>
      <c r="G74" s="92">
        <f>SUMIFS(Tabel_VAS2022[aantal_VAS],Tabel_VAS2022[Zaakcode],Tabel_prc_2022[[#This Row],[Zaakcode]],Tabel_VAS2022[Adviesofprocedure],"prc",Tabel_VAS2022[code_punten_forfait],11)</f>
        <v>44</v>
      </c>
      <c r="H74" s="92">
        <f>SUMIFS(Tabel_VAS2022[aantal_VAS],Tabel_VAS2022[Zaakcode],Tabel_prc_2022[[#This Row],[Zaakcode]],Tabel_VAS2022[Adviesofprocedure],"prc",Tabel_VAS2022[code_punten_forfait],13)</f>
        <v>1</v>
      </c>
      <c r="I74" s="92">
        <f>SUMIFS(Tabel_VAS2022[aantal_VAS],Tabel_VAS2022[Zaakcode],Tabel_prc_2022[[#This Row],[Zaakcode]],Tabel_VAS2022[Adviesofprocedure],"prc",Tabel_VAS2022[code_punten_forfait],14)</f>
        <v>3</v>
      </c>
      <c r="J74" s="92">
        <f>SUMIFS(Tabel_VAS2022[aantal_VAS],Tabel_VAS2022[Zaakcode],Tabel_prc_2022[[#This Row],[Zaakcode]],Tabel_VAS2022[Adviesofprocedure],"prc",Tabel_VAS2022[code_punten_forfait],12)</f>
        <v>0</v>
      </c>
      <c r="K74" s="92">
        <f>SUMIFS(Tabel_VAS2022[aantal_VAS],Tabel_VAS2022[Zaakcode],Tabel_prc_2022[[#This Row],[Zaakcode]],Tabel_VAS2022[Adviesofprocedure],"prc",Tabel_VAS2022[code_punten_forfait],15)</f>
        <v>0</v>
      </c>
      <c r="L74" s="92">
        <f>SUMIFS(Tabel_VAS2022[aantal_VAS],Tabel_VAS2022[Zaakcode],Tabel_prc_2022[[#This Row],[Zaakcode]],Tabel_VAS2022[Adviesofprocedure],"prc",Tabel_VAS2022[code_punten_forfait],16)</f>
        <v>0</v>
      </c>
      <c r="M74" s="35">
        <f>IFERROR(INDEX(Tabel_forfaits[forfait vanaf 2022],MATCH(Tabel_prc_2022[[#This Row],[Zaakcode]],Tabel_forfaits[Zaakcode],0)), "n.v.t.")</f>
        <v>13</v>
      </c>
      <c r="N74" s="35">
        <f>IFERROR(INDEX(Tabel_forfaits[forfait VdM II voor berekening],MATCH(Tabel_prc_2022[[#This Row],[Zaakcode]],Tabel_forfaits[Zaakcode],0)), "n.v.t.")</f>
        <v>12</v>
      </c>
      <c r="O74" s="36"/>
      <c r="P7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-44</v>
      </c>
      <c r="Q7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v>
      </c>
      <c r="R7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-4.5</v>
      </c>
      <c r="S74" s="35">
        <f>IF(Tabel_prc_2022[[#This Row],[procedure - forfait VdM II]]="n.v.t.",0,  Tabel_prc_2022[[#This Row],[procedure - aantal 0 punten]] * (Tabel_prc_2022[[#This Row],[procedure - forfait VdM II]] - Tabel_prc_2022[[#This Row],[procedure - forfait VdM I]]))</f>
        <v>0</v>
      </c>
      <c r="T7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48</v>
      </c>
      <c r="U7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-49.5</v>
      </c>
      <c r="V74" s="109">
        <f>Tabel_prc_2022[[#This Row],[procedure - totaal extra punten toev. VdM II t.o.v. huidig]] * tarief_huidig</f>
        <v>-7579.7122499999996</v>
      </c>
    </row>
    <row r="75" spans="2:22" x14ac:dyDescent="0.3">
      <c r="B75" s="1" t="s">
        <v>70</v>
      </c>
      <c r="C75" s="34" t="s">
        <v>5</v>
      </c>
      <c r="D7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1942</v>
      </c>
      <c r="E7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20667.8</v>
      </c>
      <c r="F75" s="91">
        <f>SUMIFS(Tabel_VAS2022[aantal_VAS],Tabel_VAS2022[Zaakcode],Tabel_prc_2022[[#This Row],[Zaakcode]],Tabel_VAS2022[Adviesofprocedure],"prc",Tabel_VAS2022[code_punten_forfait],10)</f>
        <v>2</v>
      </c>
      <c r="G75" s="91">
        <f>SUMIFS(Tabel_VAS2022[aantal_VAS],Tabel_VAS2022[Zaakcode],Tabel_prc_2022[[#This Row],[Zaakcode]],Tabel_VAS2022[Adviesofprocedure],"prc",Tabel_VAS2022[code_punten_forfait],11)</f>
        <v>1472</v>
      </c>
      <c r="H75" s="92">
        <f>SUMIFS(Tabel_VAS2022[aantal_VAS],Tabel_VAS2022[Zaakcode],Tabel_prc_2022[[#This Row],[Zaakcode]],Tabel_VAS2022[Adviesofprocedure],"prc",Tabel_VAS2022[code_punten_forfait],13)</f>
        <v>18</v>
      </c>
      <c r="I75" s="92">
        <f>SUMIFS(Tabel_VAS2022[aantal_VAS],Tabel_VAS2022[Zaakcode],Tabel_prc_2022[[#This Row],[Zaakcode]],Tabel_VAS2022[Adviesofprocedure],"prc",Tabel_VAS2022[code_punten_forfait],14)</f>
        <v>24</v>
      </c>
      <c r="J75" s="92">
        <f>SUMIFS(Tabel_VAS2022[aantal_VAS],Tabel_VAS2022[Zaakcode],Tabel_prc_2022[[#This Row],[Zaakcode]],Tabel_VAS2022[Adviesofprocedure],"prc",Tabel_VAS2022[code_punten_forfait],12)</f>
        <v>409</v>
      </c>
      <c r="K75" s="92">
        <f>SUMIFS(Tabel_VAS2022[aantal_VAS],Tabel_VAS2022[Zaakcode],Tabel_prc_2022[[#This Row],[Zaakcode]],Tabel_VAS2022[Adviesofprocedure],"prc",Tabel_VAS2022[code_punten_forfait],15)</f>
        <v>16</v>
      </c>
      <c r="L75" s="92">
        <f>SUMIFS(Tabel_VAS2022[aantal_VAS],Tabel_VAS2022[Zaakcode],Tabel_prc_2022[[#This Row],[Zaakcode]],Tabel_VAS2022[Adviesofprocedure],"prc",Tabel_VAS2022[code_punten_forfait],16)</f>
        <v>1</v>
      </c>
      <c r="M75" s="35">
        <f>IFERROR(INDEX(Tabel_forfaits[forfait vanaf 2022],MATCH(Tabel_prc_2022[[#This Row],[Zaakcode]],Tabel_forfaits[Zaakcode],0)), "n.v.t.")</f>
        <v>13</v>
      </c>
      <c r="N75" s="35">
        <f>IFERROR(INDEX(Tabel_forfaits[forfait VdM II voor berekening],MATCH(Tabel_prc_2022[[#This Row],[Zaakcode]],Tabel_forfaits[Zaakcode],0)), "n.v.t.")</f>
        <v>17</v>
      </c>
      <c r="O75" s="36"/>
      <c r="P7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7524</v>
      </c>
      <c r="Q7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136</v>
      </c>
      <c r="R7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150</v>
      </c>
      <c r="S75" s="35">
        <f>IF(Tabel_prc_2022[[#This Row],[procedure - forfait VdM II]]="n.v.t.",0,  Tabel_prc_2022[[#This Row],[procedure - aantal 0 punten]] * (Tabel_prc_2022[[#This Row],[procedure - forfait VdM II]] - Tabel_prc_2022[[#This Row],[procedure - forfait VdM I]]))</f>
        <v>8</v>
      </c>
      <c r="T7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1940</v>
      </c>
      <c r="U7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7810</v>
      </c>
      <c r="V75" s="109">
        <f>Tabel_prc_2022[[#This Row],[procedure - totaal extra punten toev. VdM II t.o.v. huidig]] * tarief_huidig</f>
        <v>1195910.1549999998</v>
      </c>
    </row>
    <row r="76" spans="2:22" x14ac:dyDescent="0.3">
      <c r="B76" s="1" t="s">
        <v>71</v>
      </c>
      <c r="C76" s="34" t="s">
        <v>5</v>
      </c>
      <c r="D7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11</v>
      </c>
      <c r="E7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116</v>
      </c>
      <c r="F76" s="91">
        <f>SUMIFS(Tabel_VAS2022[aantal_VAS],Tabel_VAS2022[Zaakcode],Tabel_prc_2022[[#This Row],[Zaakcode]],Tabel_VAS2022[Adviesofprocedure],"prc",Tabel_VAS2022[code_punten_forfait],10)</f>
        <v>0</v>
      </c>
      <c r="G76" s="92">
        <f>SUMIFS(Tabel_VAS2022[aantal_VAS],Tabel_VAS2022[Zaakcode],Tabel_prc_2022[[#This Row],[Zaakcode]],Tabel_VAS2022[Adviesofprocedure],"prc",Tabel_VAS2022[code_punten_forfait],11)</f>
        <v>9</v>
      </c>
      <c r="H76" s="92">
        <f>SUMIFS(Tabel_VAS2022[aantal_VAS],Tabel_VAS2022[Zaakcode],Tabel_prc_2022[[#This Row],[Zaakcode]],Tabel_VAS2022[Adviesofprocedure],"prc",Tabel_VAS2022[code_punten_forfait],13)</f>
        <v>0</v>
      </c>
      <c r="I76" s="92">
        <f>SUMIFS(Tabel_VAS2022[aantal_VAS],Tabel_VAS2022[Zaakcode],Tabel_prc_2022[[#This Row],[Zaakcode]],Tabel_VAS2022[Adviesofprocedure],"prc",Tabel_VAS2022[code_punten_forfait],14)</f>
        <v>0</v>
      </c>
      <c r="J76" s="92">
        <f>SUMIFS(Tabel_VAS2022[aantal_VAS],Tabel_VAS2022[Zaakcode],Tabel_prc_2022[[#This Row],[Zaakcode]],Tabel_VAS2022[Adviesofprocedure],"prc",Tabel_VAS2022[code_punten_forfait],12)</f>
        <v>2</v>
      </c>
      <c r="K76" s="92">
        <f>SUMIFS(Tabel_VAS2022[aantal_VAS],Tabel_VAS2022[Zaakcode],Tabel_prc_2022[[#This Row],[Zaakcode]],Tabel_VAS2022[Adviesofprocedure],"prc",Tabel_VAS2022[code_punten_forfait],15)</f>
        <v>0</v>
      </c>
      <c r="L76" s="92">
        <f>SUMIFS(Tabel_VAS2022[aantal_VAS],Tabel_VAS2022[Zaakcode],Tabel_prc_2022[[#This Row],[Zaakcode]],Tabel_VAS2022[Adviesofprocedure],"prc",Tabel_VAS2022[code_punten_forfait],16)</f>
        <v>0</v>
      </c>
      <c r="M76" s="35">
        <f>IFERROR(INDEX(Tabel_forfaits[forfait vanaf 2022],MATCH(Tabel_prc_2022[[#This Row],[Zaakcode]],Tabel_forfaits[Zaakcode],0)), "n.v.t.")</f>
        <v>13</v>
      </c>
      <c r="N76" s="35">
        <f>IFERROR(INDEX(Tabel_forfaits[forfait VdM II voor berekening],MATCH(Tabel_prc_2022[[#This Row],[Zaakcode]],Tabel_forfaits[Zaakcode],0)), "n.v.t.")</f>
        <v>13</v>
      </c>
      <c r="O76" s="36"/>
      <c r="P7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7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7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76" s="35">
        <f>IF(Tabel_prc_2022[[#This Row],[procedure - forfait VdM II]]="n.v.t.",0,  Tabel_prc_2022[[#This Row],[procedure - aantal 0 punten]] * (Tabel_prc_2022[[#This Row],[procedure - forfait VdM II]] - Tabel_prc_2022[[#This Row],[procedure - forfait VdM I]]))</f>
        <v>0</v>
      </c>
      <c r="T7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11</v>
      </c>
      <c r="U7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76" s="109">
        <f>Tabel_prc_2022[[#This Row],[procedure - totaal extra punten toev. VdM II t.o.v. huidig]] * tarief_huidig</f>
        <v>0</v>
      </c>
    </row>
    <row r="77" spans="2:22" x14ac:dyDescent="0.3">
      <c r="B77" s="1" t="s">
        <v>72</v>
      </c>
      <c r="C77" s="34" t="s">
        <v>5</v>
      </c>
      <c r="D7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2844</v>
      </c>
      <c r="E7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31863.800000000039</v>
      </c>
      <c r="F77" s="91">
        <f>SUMIFS(Tabel_VAS2022[aantal_VAS],Tabel_VAS2022[Zaakcode],Tabel_prc_2022[[#This Row],[Zaakcode]],Tabel_VAS2022[Adviesofprocedure],"prc",Tabel_VAS2022[code_punten_forfait],10)</f>
        <v>270</v>
      </c>
      <c r="G77" s="92">
        <f>SUMIFS(Tabel_VAS2022[aantal_VAS],Tabel_VAS2022[Zaakcode],Tabel_prc_2022[[#This Row],[Zaakcode]],Tabel_VAS2022[Adviesofprocedure],"prc",Tabel_VAS2022[code_punten_forfait],11)</f>
        <v>0</v>
      </c>
      <c r="H77" s="92">
        <f>SUMIFS(Tabel_VAS2022[aantal_VAS],Tabel_VAS2022[Zaakcode],Tabel_prc_2022[[#This Row],[Zaakcode]],Tabel_VAS2022[Adviesofprocedure],"prc",Tabel_VAS2022[code_punten_forfait],13)</f>
        <v>0</v>
      </c>
      <c r="I77" s="92">
        <f>SUMIFS(Tabel_VAS2022[aantal_VAS],Tabel_VAS2022[Zaakcode],Tabel_prc_2022[[#This Row],[Zaakcode]],Tabel_VAS2022[Adviesofprocedure],"prc",Tabel_VAS2022[code_punten_forfait],14)</f>
        <v>0</v>
      </c>
      <c r="J77" s="91">
        <f>SUMIFS(Tabel_VAS2022[aantal_VAS],Tabel_VAS2022[Zaakcode],Tabel_prc_2022[[#This Row],[Zaakcode]],Tabel_VAS2022[Adviesofprocedure],"prc",Tabel_VAS2022[code_punten_forfait],12)</f>
        <v>2018</v>
      </c>
      <c r="K77" s="92">
        <f>SUMIFS(Tabel_VAS2022[aantal_VAS],Tabel_VAS2022[Zaakcode],Tabel_prc_2022[[#This Row],[Zaakcode]],Tabel_VAS2022[Adviesofprocedure],"prc",Tabel_VAS2022[code_punten_forfait],15)</f>
        <v>539</v>
      </c>
      <c r="L77" s="92">
        <f>SUMIFS(Tabel_VAS2022[aantal_VAS],Tabel_VAS2022[Zaakcode],Tabel_prc_2022[[#This Row],[Zaakcode]],Tabel_VAS2022[Adviesofprocedure],"prc",Tabel_VAS2022[code_punten_forfait],16)</f>
        <v>17</v>
      </c>
      <c r="M77" s="35">
        <f>IFERROR(INDEX(Tabel_forfaits[forfait vanaf 2022],MATCH(Tabel_prc_2022[[#This Row],[Zaakcode]],Tabel_forfaits[Zaakcode],0)), "n.v.t.")</f>
        <v>13</v>
      </c>
      <c r="N77" s="35">
        <f>IFERROR(INDEX(Tabel_forfaits[forfait VdM II voor berekening],MATCH(Tabel_prc_2022[[#This Row],[Zaakcode]],Tabel_forfaits[Zaakcode],0)), "n.v.t.")</f>
        <v>12</v>
      </c>
      <c r="O77" s="36"/>
      <c r="P7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-2018</v>
      </c>
      <c r="Q7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-539</v>
      </c>
      <c r="R7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-25.5</v>
      </c>
      <c r="S77" s="35">
        <f>IF(Tabel_prc_2022[[#This Row],[procedure - forfait VdM II]]="n.v.t.",0,  Tabel_prc_2022[[#This Row],[procedure - aantal 0 punten]] * (Tabel_prc_2022[[#This Row],[procedure - forfait VdM II]] - Tabel_prc_2022[[#This Row],[procedure - forfait VdM I]]))</f>
        <v>-270</v>
      </c>
      <c r="T7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2574</v>
      </c>
      <c r="U7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-2582.5</v>
      </c>
      <c r="V77" s="109">
        <f>Tabel_prc_2022[[#This Row],[procedure - totaal extra punten toev. VdM II t.o.v. huidig]] * tarief_huidig</f>
        <v>-395446.60374999995</v>
      </c>
    </row>
    <row r="78" spans="2:22" x14ac:dyDescent="0.3">
      <c r="B78" s="1" t="s">
        <v>73</v>
      </c>
      <c r="C78" s="34" t="s">
        <v>5</v>
      </c>
      <c r="D7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1076</v>
      </c>
      <c r="E7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6875.1</v>
      </c>
      <c r="F78" s="91">
        <f>SUMIFS(Tabel_VAS2022[aantal_VAS],Tabel_VAS2022[Zaakcode],Tabel_prc_2022[[#This Row],[Zaakcode]],Tabel_VAS2022[Adviesofprocedure],"prc",Tabel_VAS2022[code_punten_forfait],10)</f>
        <v>6</v>
      </c>
      <c r="G78" s="92">
        <f>SUMIFS(Tabel_VAS2022[aantal_VAS],Tabel_VAS2022[Zaakcode],Tabel_prc_2022[[#This Row],[Zaakcode]],Tabel_VAS2022[Adviesofprocedure],"prc",Tabel_VAS2022[code_punten_forfait],11)</f>
        <v>364</v>
      </c>
      <c r="H78" s="92">
        <f>SUMIFS(Tabel_VAS2022[aantal_VAS],Tabel_VAS2022[Zaakcode],Tabel_prc_2022[[#This Row],[Zaakcode]],Tabel_VAS2022[Adviesofprocedure],"prc",Tabel_VAS2022[code_punten_forfait],13)</f>
        <v>472</v>
      </c>
      <c r="I78" s="92">
        <f>SUMIFS(Tabel_VAS2022[aantal_VAS],Tabel_VAS2022[Zaakcode],Tabel_prc_2022[[#This Row],[Zaakcode]],Tabel_VAS2022[Adviesofprocedure],"prc",Tabel_VAS2022[code_punten_forfait],14)</f>
        <v>234</v>
      </c>
      <c r="J78" s="92">
        <f>SUMIFS(Tabel_VAS2022[aantal_VAS],Tabel_VAS2022[Zaakcode],Tabel_prc_2022[[#This Row],[Zaakcode]],Tabel_VAS2022[Adviesofprocedure],"prc",Tabel_VAS2022[code_punten_forfait],12)</f>
        <v>0</v>
      </c>
      <c r="K78" s="92">
        <f>SUMIFS(Tabel_VAS2022[aantal_VAS],Tabel_VAS2022[Zaakcode],Tabel_prc_2022[[#This Row],[Zaakcode]],Tabel_VAS2022[Adviesofprocedure],"prc",Tabel_VAS2022[code_punten_forfait],15)</f>
        <v>0</v>
      </c>
      <c r="L78" s="92">
        <f>SUMIFS(Tabel_VAS2022[aantal_VAS],Tabel_VAS2022[Zaakcode],Tabel_prc_2022[[#This Row],[Zaakcode]],Tabel_VAS2022[Adviesofprocedure],"prc",Tabel_VAS2022[code_punten_forfait],16)</f>
        <v>0</v>
      </c>
      <c r="M78" s="35">
        <f>IFERROR(INDEX(Tabel_forfaits[forfait vanaf 2022],MATCH(Tabel_prc_2022[[#This Row],[Zaakcode]],Tabel_forfaits[Zaakcode],0)), "n.v.t.")</f>
        <v>13</v>
      </c>
      <c r="N78" s="35">
        <f>IFERROR(INDEX(Tabel_forfaits[forfait VdM II voor berekening],MATCH(Tabel_prc_2022[[#This Row],[Zaakcode]],Tabel_forfaits[Zaakcode],0)), "n.v.t.")</f>
        <v>12</v>
      </c>
      <c r="O78" s="36"/>
      <c r="P7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-364</v>
      </c>
      <c r="Q7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-472</v>
      </c>
      <c r="R7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-351</v>
      </c>
      <c r="S78" s="35">
        <f>IF(Tabel_prc_2022[[#This Row],[procedure - forfait VdM II]]="n.v.t.",0,  Tabel_prc_2022[[#This Row],[procedure - aantal 0 punten]] * (Tabel_prc_2022[[#This Row],[procedure - forfait VdM II]] - Tabel_prc_2022[[#This Row],[procedure - forfait VdM I]]))</f>
        <v>-6</v>
      </c>
      <c r="T7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1070</v>
      </c>
      <c r="U7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-1187</v>
      </c>
      <c r="V78" s="109">
        <f>Tabel_prc_2022[[#This Row],[procedure - totaal extra punten toev. VdM II t.o.v. huidig]] * tarief_huidig</f>
        <v>-181759.96849999999</v>
      </c>
    </row>
    <row r="79" spans="2:22" x14ac:dyDescent="0.3">
      <c r="B79" s="1" t="s">
        <v>74</v>
      </c>
      <c r="C79" s="34" t="s">
        <v>5</v>
      </c>
      <c r="D7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17</v>
      </c>
      <c r="E7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117.6</v>
      </c>
      <c r="F79" s="91">
        <f>SUMIFS(Tabel_VAS2022[aantal_VAS],Tabel_VAS2022[Zaakcode],Tabel_prc_2022[[#This Row],[Zaakcode]],Tabel_VAS2022[Adviesofprocedure],"prc",Tabel_VAS2022[code_punten_forfait],10)</f>
        <v>0</v>
      </c>
      <c r="G79" s="92">
        <f>SUMIFS(Tabel_VAS2022[aantal_VAS],Tabel_VAS2022[Zaakcode],Tabel_prc_2022[[#This Row],[Zaakcode]],Tabel_VAS2022[Adviesofprocedure],"prc",Tabel_VAS2022[code_punten_forfait],11)</f>
        <v>11</v>
      </c>
      <c r="H79" s="92">
        <f>SUMIFS(Tabel_VAS2022[aantal_VAS],Tabel_VAS2022[Zaakcode],Tabel_prc_2022[[#This Row],[Zaakcode]],Tabel_VAS2022[Adviesofprocedure],"prc",Tabel_VAS2022[code_punten_forfait],13)</f>
        <v>2</v>
      </c>
      <c r="I79" s="92">
        <f>SUMIFS(Tabel_VAS2022[aantal_VAS],Tabel_VAS2022[Zaakcode],Tabel_prc_2022[[#This Row],[Zaakcode]],Tabel_VAS2022[Adviesofprocedure],"prc",Tabel_VAS2022[code_punten_forfait],14)</f>
        <v>4</v>
      </c>
      <c r="J79" s="92">
        <f>SUMIFS(Tabel_VAS2022[aantal_VAS],Tabel_VAS2022[Zaakcode],Tabel_prc_2022[[#This Row],[Zaakcode]],Tabel_VAS2022[Adviesofprocedure],"prc",Tabel_VAS2022[code_punten_forfait],12)</f>
        <v>0</v>
      </c>
      <c r="K79" s="92">
        <f>SUMIFS(Tabel_VAS2022[aantal_VAS],Tabel_VAS2022[Zaakcode],Tabel_prc_2022[[#This Row],[Zaakcode]],Tabel_VAS2022[Adviesofprocedure],"prc",Tabel_VAS2022[code_punten_forfait],15)</f>
        <v>0</v>
      </c>
      <c r="L79" s="92">
        <f>SUMIFS(Tabel_VAS2022[aantal_VAS],Tabel_VAS2022[Zaakcode],Tabel_prc_2022[[#This Row],[Zaakcode]],Tabel_VAS2022[Adviesofprocedure],"prc",Tabel_VAS2022[code_punten_forfait],16)</f>
        <v>0</v>
      </c>
      <c r="M79" s="35">
        <f>IFERROR(INDEX(Tabel_forfaits[forfait vanaf 2022],MATCH(Tabel_prc_2022[[#This Row],[Zaakcode]],Tabel_forfaits[Zaakcode],0)), "n.v.t.")</f>
        <v>13</v>
      </c>
      <c r="N79" s="35">
        <f>IFERROR(INDEX(Tabel_forfaits[forfait VdM II voor berekening],MATCH(Tabel_prc_2022[[#This Row],[Zaakcode]],Tabel_forfaits[Zaakcode],0)), "n.v.t.")</f>
        <v>12</v>
      </c>
      <c r="O79" s="36"/>
      <c r="P7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-11</v>
      </c>
      <c r="Q7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v>
      </c>
      <c r="R7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-6</v>
      </c>
      <c r="S79" s="35">
        <f>IF(Tabel_prc_2022[[#This Row],[procedure - forfait VdM II]]="n.v.t.",0,  Tabel_prc_2022[[#This Row],[procedure - aantal 0 punten]] * (Tabel_prc_2022[[#This Row],[procedure - forfait VdM II]] - Tabel_prc_2022[[#This Row],[procedure - forfait VdM I]]))</f>
        <v>0</v>
      </c>
      <c r="T7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17</v>
      </c>
      <c r="U7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-19</v>
      </c>
      <c r="V79" s="109">
        <f>Tabel_prc_2022[[#This Row],[procedure - totaal extra punten toev. VdM II t.o.v. huidig]] * tarief_huidig</f>
        <v>-2909.3844999999997</v>
      </c>
    </row>
    <row r="80" spans="2:22" x14ac:dyDescent="0.3">
      <c r="B80" s="1" t="s">
        <v>75</v>
      </c>
      <c r="C80" s="34" t="s">
        <v>5</v>
      </c>
      <c r="D8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5706</v>
      </c>
      <c r="E8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49079.6</v>
      </c>
      <c r="F80" s="91">
        <f>SUMIFS(Tabel_VAS2022[aantal_VAS],Tabel_VAS2022[Zaakcode],Tabel_prc_2022[[#This Row],[Zaakcode]],Tabel_VAS2022[Adviesofprocedure],"prc",Tabel_VAS2022[code_punten_forfait],10)</f>
        <v>0</v>
      </c>
      <c r="G80" s="91">
        <f>SUMIFS(Tabel_VAS2022[aantal_VAS],Tabel_VAS2022[Zaakcode],Tabel_prc_2022[[#This Row],[Zaakcode]],Tabel_VAS2022[Adviesofprocedure],"prc",Tabel_VAS2022[code_punten_forfait],11)</f>
        <v>4005</v>
      </c>
      <c r="H80" s="92">
        <f>SUMIFS(Tabel_VAS2022[aantal_VAS],Tabel_VAS2022[Zaakcode],Tabel_prc_2022[[#This Row],[Zaakcode]],Tabel_VAS2022[Adviesofprocedure],"prc",Tabel_VAS2022[code_punten_forfait],13)</f>
        <v>83</v>
      </c>
      <c r="I80" s="92">
        <f>SUMIFS(Tabel_VAS2022[aantal_VAS],Tabel_VAS2022[Zaakcode],Tabel_prc_2022[[#This Row],[Zaakcode]],Tabel_VAS2022[Adviesofprocedure],"prc",Tabel_VAS2022[code_punten_forfait],14)</f>
        <v>36</v>
      </c>
      <c r="J80" s="91">
        <f>SUMIFS(Tabel_VAS2022[aantal_VAS],Tabel_VAS2022[Zaakcode],Tabel_prc_2022[[#This Row],[Zaakcode]],Tabel_VAS2022[Adviesofprocedure],"prc",Tabel_VAS2022[code_punten_forfait],12)</f>
        <v>1515</v>
      </c>
      <c r="K80" s="92">
        <f>SUMIFS(Tabel_VAS2022[aantal_VAS],Tabel_VAS2022[Zaakcode],Tabel_prc_2022[[#This Row],[Zaakcode]],Tabel_VAS2022[Adviesofprocedure],"prc",Tabel_VAS2022[code_punten_forfait],15)</f>
        <v>65</v>
      </c>
      <c r="L80" s="92">
        <f>SUMIFS(Tabel_VAS2022[aantal_VAS],Tabel_VAS2022[Zaakcode],Tabel_prc_2022[[#This Row],[Zaakcode]],Tabel_VAS2022[Adviesofprocedure],"prc",Tabel_VAS2022[code_punten_forfait],16)</f>
        <v>2</v>
      </c>
      <c r="M80" s="35">
        <f>IFERROR(INDEX(Tabel_forfaits[forfait vanaf 2022],MATCH(Tabel_prc_2022[[#This Row],[Zaakcode]],Tabel_forfaits[Zaakcode],0)), "n.v.t.")</f>
        <v>13</v>
      </c>
      <c r="N80" s="35">
        <f>IFERROR(INDEX(Tabel_forfaits[forfait VdM II voor berekening],MATCH(Tabel_prc_2022[[#This Row],[Zaakcode]],Tabel_forfaits[Zaakcode],0)), "n.v.t.")</f>
        <v>14</v>
      </c>
      <c r="O80" s="36"/>
      <c r="P8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5520</v>
      </c>
      <c r="Q8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148</v>
      </c>
      <c r="R8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57</v>
      </c>
      <c r="S80" s="35">
        <f>IF(Tabel_prc_2022[[#This Row],[procedure - forfait VdM II]]="n.v.t.",0,  Tabel_prc_2022[[#This Row],[procedure - aantal 0 punten]] * (Tabel_prc_2022[[#This Row],[procedure - forfait VdM II]] - Tabel_prc_2022[[#This Row],[procedure - forfait VdM I]]))</f>
        <v>0</v>
      </c>
      <c r="T8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5706</v>
      </c>
      <c r="U8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5725</v>
      </c>
      <c r="V80" s="109">
        <f>Tabel_prc_2022[[#This Row],[procedure - totaal extra punten toev. VdM II t.o.v. huidig]] * tarief_huidig</f>
        <v>876643.48749999993</v>
      </c>
    </row>
    <row r="81" spans="2:22" x14ac:dyDescent="0.3">
      <c r="B81" s="1" t="s">
        <v>76</v>
      </c>
      <c r="C81" s="34" t="s">
        <v>5</v>
      </c>
      <c r="D8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3884</v>
      </c>
      <c r="E8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32148.000000000004</v>
      </c>
      <c r="F81" s="91">
        <f>SUMIFS(Tabel_VAS2022[aantal_VAS],Tabel_VAS2022[Zaakcode],Tabel_prc_2022[[#This Row],[Zaakcode]],Tabel_VAS2022[Adviesofprocedure],"prc",Tabel_VAS2022[code_punten_forfait],10)</f>
        <v>0</v>
      </c>
      <c r="G81" s="91">
        <f>SUMIFS(Tabel_VAS2022[aantal_VAS],Tabel_VAS2022[Zaakcode],Tabel_prc_2022[[#This Row],[Zaakcode]],Tabel_VAS2022[Adviesofprocedure],"prc",Tabel_VAS2022[code_punten_forfait],11)</f>
        <v>2590</v>
      </c>
      <c r="H81" s="92">
        <f>SUMIFS(Tabel_VAS2022[aantal_VAS],Tabel_VAS2022[Zaakcode],Tabel_prc_2022[[#This Row],[Zaakcode]],Tabel_VAS2022[Adviesofprocedure],"prc",Tabel_VAS2022[code_punten_forfait],13)</f>
        <v>32</v>
      </c>
      <c r="I81" s="92">
        <f>SUMIFS(Tabel_VAS2022[aantal_VAS],Tabel_VAS2022[Zaakcode],Tabel_prc_2022[[#This Row],[Zaakcode]],Tabel_VAS2022[Adviesofprocedure],"prc",Tabel_VAS2022[code_punten_forfait],14)</f>
        <v>39</v>
      </c>
      <c r="J81" s="91">
        <f>SUMIFS(Tabel_VAS2022[aantal_VAS],Tabel_VAS2022[Zaakcode],Tabel_prc_2022[[#This Row],[Zaakcode]],Tabel_VAS2022[Adviesofprocedure],"prc",Tabel_VAS2022[code_punten_forfait],12)</f>
        <v>1172</v>
      </c>
      <c r="K81" s="92">
        <f>SUMIFS(Tabel_VAS2022[aantal_VAS],Tabel_VAS2022[Zaakcode],Tabel_prc_2022[[#This Row],[Zaakcode]],Tabel_VAS2022[Adviesofprocedure],"prc",Tabel_VAS2022[code_punten_forfait],15)</f>
        <v>46</v>
      </c>
      <c r="L81" s="92">
        <f>SUMIFS(Tabel_VAS2022[aantal_VAS],Tabel_VAS2022[Zaakcode],Tabel_prc_2022[[#This Row],[Zaakcode]],Tabel_VAS2022[Adviesofprocedure],"prc",Tabel_VAS2022[code_punten_forfait],16)</f>
        <v>5</v>
      </c>
      <c r="M81" s="35">
        <f>IFERROR(INDEX(Tabel_forfaits[forfait vanaf 2022],MATCH(Tabel_prc_2022[[#This Row],[Zaakcode]],Tabel_forfaits[Zaakcode],0)), "n.v.t.")</f>
        <v>11</v>
      </c>
      <c r="N81" s="35">
        <f>IFERROR(INDEX(Tabel_forfaits[forfait VdM II voor berekening],MATCH(Tabel_prc_2022[[#This Row],[Zaakcode]],Tabel_forfaits[Zaakcode],0)), "n.v.t.")</f>
        <v>13</v>
      </c>
      <c r="O81" s="36"/>
      <c r="P8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7524</v>
      </c>
      <c r="Q8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156</v>
      </c>
      <c r="R8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132</v>
      </c>
      <c r="S81" s="35">
        <f>IF(Tabel_prc_2022[[#This Row],[procedure - forfait VdM II]]="n.v.t.",0,  Tabel_prc_2022[[#This Row],[procedure - aantal 0 punten]] * (Tabel_prc_2022[[#This Row],[procedure - forfait VdM II]] - Tabel_prc_2022[[#This Row],[procedure - forfait VdM I]]))</f>
        <v>0</v>
      </c>
      <c r="T8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3884</v>
      </c>
      <c r="U8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7812</v>
      </c>
      <c r="V81" s="109">
        <f>Tabel_prc_2022[[#This Row],[procedure - totaal extra punten toev. VdM II t.o.v. huidig]] * tarief_huidig</f>
        <v>1196216.406</v>
      </c>
    </row>
    <row r="82" spans="2:22" x14ac:dyDescent="0.3">
      <c r="B82" s="1" t="s">
        <v>77</v>
      </c>
      <c r="C82" s="34" t="s">
        <v>5</v>
      </c>
      <c r="D8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6082</v>
      </c>
      <c r="E8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52576.4</v>
      </c>
      <c r="F82" s="91">
        <f>SUMIFS(Tabel_VAS2022[aantal_VAS],Tabel_VAS2022[Zaakcode],Tabel_prc_2022[[#This Row],[Zaakcode]],Tabel_VAS2022[Adviesofprocedure],"prc",Tabel_VAS2022[code_punten_forfait],10)</f>
        <v>0</v>
      </c>
      <c r="G82" s="91">
        <f>SUMIFS(Tabel_VAS2022[aantal_VAS],Tabel_VAS2022[Zaakcode],Tabel_prc_2022[[#This Row],[Zaakcode]],Tabel_VAS2022[Adviesofprocedure],"prc",Tabel_VAS2022[code_punten_forfait],11)</f>
        <v>4070</v>
      </c>
      <c r="H82" s="92">
        <f>SUMIFS(Tabel_VAS2022[aantal_VAS],Tabel_VAS2022[Zaakcode],Tabel_prc_2022[[#This Row],[Zaakcode]],Tabel_VAS2022[Adviesofprocedure],"prc",Tabel_VAS2022[code_punten_forfait],13)</f>
        <v>9</v>
      </c>
      <c r="I82" s="92">
        <f>SUMIFS(Tabel_VAS2022[aantal_VAS],Tabel_VAS2022[Zaakcode],Tabel_prc_2022[[#This Row],[Zaakcode]],Tabel_VAS2022[Adviesofprocedure],"prc",Tabel_VAS2022[code_punten_forfait],14)</f>
        <v>42</v>
      </c>
      <c r="J82" s="91">
        <f>SUMIFS(Tabel_VAS2022[aantal_VAS],Tabel_VAS2022[Zaakcode],Tabel_prc_2022[[#This Row],[Zaakcode]],Tabel_VAS2022[Adviesofprocedure],"prc",Tabel_VAS2022[code_punten_forfait],12)</f>
        <v>1930</v>
      </c>
      <c r="K82" s="92">
        <f>SUMIFS(Tabel_VAS2022[aantal_VAS],Tabel_VAS2022[Zaakcode],Tabel_prc_2022[[#This Row],[Zaakcode]],Tabel_VAS2022[Adviesofprocedure],"prc",Tabel_VAS2022[code_punten_forfait],15)</f>
        <v>27</v>
      </c>
      <c r="L82" s="92">
        <f>SUMIFS(Tabel_VAS2022[aantal_VAS],Tabel_VAS2022[Zaakcode],Tabel_prc_2022[[#This Row],[Zaakcode]],Tabel_VAS2022[Adviesofprocedure],"prc",Tabel_VAS2022[code_punten_forfait],16)</f>
        <v>4</v>
      </c>
      <c r="M82" s="35">
        <f>IFERROR(INDEX(Tabel_forfaits[forfait vanaf 2022],MATCH(Tabel_prc_2022[[#This Row],[Zaakcode]],Tabel_forfaits[Zaakcode],0)), "n.v.t.")</f>
        <v>12</v>
      </c>
      <c r="N82" s="35">
        <f>IFERROR(INDEX(Tabel_forfaits[forfait VdM II voor berekening],MATCH(Tabel_prc_2022[[#This Row],[Zaakcode]],Tabel_forfaits[Zaakcode],0)), "n.v.t.")</f>
        <v>14</v>
      </c>
      <c r="O82" s="36"/>
      <c r="P8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12000</v>
      </c>
      <c r="Q8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72</v>
      </c>
      <c r="R8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138</v>
      </c>
      <c r="S82" s="35">
        <f>IF(Tabel_prc_2022[[#This Row],[procedure - forfait VdM II]]="n.v.t.",0,  Tabel_prc_2022[[#This Row],[procedure - aantal 0 punten]] * (Tabel_prc_2022[[#This Row],[procedure - forfait VdM II]] - Tabel_prc_2022[[#This Row],[procedure - forfait VdM I]]))</f>
        <v>0</v>
      </c>
      <c r="T8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6082</v>
      </c>
      <c r="U8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12210</v>
      </c>
      <c r="V82" s="109">
        <f>Tabel_prc_2022[[#This Row],[procedure - totaal extra punten toev. VdM II t.o.v. huidig]] * tarief_huidig</f>
        <v>1869662.3549999997</v>
      </c>
    </row>
    <row r="83" spans="2:22" x14ac:dyDescent="0.3">
      <c r="B83" s="1" t="s">
        <v>78</v>
      </c>
      <c r="C83" s="34" t="s">
        <v>5</v>
      </c>
      <c r="D8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1856</v>
      </c>
      <c r="E8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12706</v>
      </c>
      <c r="F83" s="91">
        <f>SUMIFS(Tabel_VAS2022[aantal_VAS],Tabel_VAS2022[Zaakcode],Tabel_prc_2022[[#This Row],[Zaakcode]],Tabel_VAS2022[Adviesofprocedure],"prc",Tabel_VAS2022[code_punten_forfait],10)</f>
        <v>0</v>
      </c>
      <c r="G83" s="92">
        <f>SUMIFS(Tabel_VAS2022[aantal_VAS],Tabel_VAS2022[Zaakcode],Tabel_prc_2022[[#This Row],[Zaakcode]],Tabel_VAS2022[Adviesofprocedure],"prc",Tabel_VAS2022[code_punten_forfait],11)</f>
        <v>506</v>
      </c>
      <c r="H83" s="92">
        <f>SUMIFS(Tabel_VAS2022[aantal_VAS],Tabel_VAS2022[Zaakcode],Tabel_prc_2022[[#This Row],[Zaakcode]],Tabel_VAS2022[Adviesofprocedure],"prc",Tabel_VAS2022[code_punten_forfait],13)</f>
        <v>0</v>
      </c>
      <c r="I83" s="92">
        <f>SUMIFS(Tabel_VAS2022[aantal_VAS],Tabel_VAS2022[Zaakcode],Tabel_prc_2022[[#This Row],[Zaakcode]],Tabel_VAS2022[Adviesofprocedure],"prc",Tabel_VAS2022[code_punten_forfait],14)</f>
        <v>1</v>
      </c>
      <c r="J83" s="92">
        <f>SUMIFS(Tabel_VAS2022[aantal_VAS],Tabel_VAS2022[Zaakcode],Tabel_prc_2022[[#This Row],[Zaakcode]],Tabel_VAS2022[Adviesofprocedure],"prc",Tabel_VAS2022[code_punten_forfait],12)</f>
        <v>284</v>
      </c>
      <c r="K83" s="92">
        <f>SUMIFS(Tabel_VAS2022[aantal_VAS],Tabel_VAS2022[Zaakcode],Tabel_prc_2022[[#This Row],[Zaakcode]],Tabel_VAS2022[Adviesofprocedure],"prc",Tabel_VAS2022[code_punten_forfait],15)</f>
        <v>9</v>
      </c>
      <c r="L83" s="91">
        <f>SUMIFS(Tabel_VAS2022[aantal_VAS],Tabel_VAS2022[Zaakcode],Tabel_prc_2022[[#This Row],[Zaakcode]],Tabel_VAS2022[Adviesofprocedure],"prc",Tabel_VAS2022[code_punten_forfait],16)</f>
        <v>1056</v>
      </c>
      <c r="M83" s="35">
        <f>IFERROR(INDEX(Tabel_forfaits[forfait vanaf 2022],MATCH(Tabel_prc_2022[[#This Row],[Zaakcode]],Tabel_forfaits[Zaakcode],0)), "n.v.t.")</f>
        <v>7</v>
      </c>
      <c r="N83" s="35">
        <f>IFERROR(INDEX(Tabel_forfaits[forfait VdM II voor berekening],MATCH(Tabel_prc_2022[[#This Row],[Zaakcode]],Tabel_forfaits[Zaakcode],0)), "n.v.t.")</f>
        <v>6</v>
      </c>
      <c r="O83" s="36"/>
      <c r="P8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-790</v>
      </c>
      <c r="Q8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-9</v>
      </c>
      <c r="R8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-1585.5</v>
      </c>
      <c r="S83" s="35">
        <f>IF(Tabel_prc_2022[[#This Row],[procedure - forfait VdM II]]="n.v.t.",0,  Tabel_prc_2022[[#This Row],[procedure - aantal 0 punten]] * (Tabel_prc_2022[[#This Row],[procedure - forfait VdM II]] - Tabel_prc_2022[[#This Row],[procedure - forfait VdM I]]))</f>
        <v>0</v>
      </c>
      <c r="T8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1856</v>
      </c>
      <c r="U8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-2384.5</v>
      </c>
      <c r="V83" s="109">
        <f>Tabel_prc_2022[[#This Row],[procedure - totaal extra punten toev. VdM II t.o.v. huidig]] * tarief_huidig</f>
        <v>-365127.75474999996</v>
      </c>
    </row>
    <row r="84" spans="2:22" x14ac:dyDescent="0.3">
      <c r="B84" s="1" t="s">
        <v>79</v>
      </c>
      <c r="C84" s="34" t="s">
        <v>5</v>
      </c>
      <c r="D8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9692</v>
      </c>
      <c r="E8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75260.299999999988</v>
      </c>
      <c r="F84" s="91">
        <f>SUMIFS(Tabel_VAS2022[aantal_VAS],Tabel_VAS2022[Zaakcode],Tabel_prc_2022[[#This Row],[Zaakcode]],Tabel_VAS2022[Adviesofprocedure],"prc",Tabel_VAS2022[code_punten_forfait],10)</f>
        <v>0</v>
      </c>
      <c r="G84" s="91">
        <f>SUMIFS(Tabel_VAS2022[aantal_VAS],Tabel_VAS2022[Zaakcode],Tabel_prc_2022[[#This Row],[Zaakcode]],Tabel_VAS2022[Adviesofprocedure],"prc",Tabel_VAS2022[code_punten_forfait],11)</f>
        <v>3063</v>
      </c>
      <c r="H84" s="92">
        <f>SUMIFS(Tabel_VAS2022[aantal_VAS],Tabel_VAS2022[Zaakcode],Tabel_prc_2022[[#This Row],[Zaakcode]],Tabel_VAS2022[Adviesofprocedure],"prc",Tabel_VAS2022[code_punten_forfait],13)</f>
        <v>27</v>
      </c>
      <c r="I84" s="92">
        <f>SUMIFS(Tabel_VAS2022[aantal_VAS],Tabel_VAS2022[Zaakcode],Tabel_prc_2022[[#This Row],[Zaakcode]],Tabel_VAS2022[Adviesofprocedure],"prc",Tabel_VAS2022[code_punten_forfait],14)</f>
        <v>94</v>
      </c>
      <c r="J84" s="91">
        <f>SUMIFS(Tabel_VAS2022[aantal_VAS],Tabel_VAS2022[Zaakcode],Tabel_prc_2022[[#This Row],[Zaakcode]],Tabel_VAS2022[Adviesofprocedure],"prc",Tabel_VAS2022[code_punten_forfait],12)</f>
        <v>6380</v>
      </c>
      <c r="K84" s="92">
        <f>SUMIFS(Tabel_VAS2022[aantal_VAS],Tabel_VAS2022[Zaakcode],Tabel_prc_2022[[#This Row],[Zaakcode]],Tabel_VAS2022[Adviesofprocedure],"prc",Tabel_VAS2022[code_punten_forfait],15)</f>
        <v>75</v>
      </c>
      <c r="L84" s="92">
        <f>SUMIFS(Tabel_VAS2022[aantal_VAS],Tabel_VAS2022[Zaakcode],Tabel_prc_2022[[#This Row],[Zaakcode]],Tabel_VAS2022[Adviesofprocedure],"prc",Tabel_VAS2022[code_punten_forfait],16)</f>
        <v>53</v>
      </c>
      <c r="M84" s="35">
        <f>IFERROR(INDEX(Tabel_forfaits[forfait vanaf 2022],MATCH(Tabel_prc_2022[[#This Row],[Zaakcode]],Tabel_forfaits[Zaakcode],0)), "n.v.t.")</f>
        <v>8</v>
      </c>
      <c r="N84" s="35">
        <f>IFERROR(INDEX(Tabel_forfaits[forfait VdM II voor berekening],MATCH(Tabel_prc_2022[[#This Row],[Zaakcode]],Tabel_forfaits[Zaakcode],0)), "n.v.t.")</f>
        <v>8</v>
      </c>
      <c r="O84" s="36"/>
      <c r="P8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8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8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84" s="35">
        <f>IF(Tabel_prc_2022[[#This Row],[procedure - forfait VdM II]]="n.v.t.",0,  Tabel_prc_2022[[#This Row],[procedure - aantal 0 punten]] * (Tabel_prc_2022[[#This Row],[procedure - forfait VdM II]] - Tabel_prc_2022[[#This Row],[procedure - forfait VdM I]]))</f>
        <v>0</v>
      </c>
      <c r="T8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9692</v>
      </c>
      <c r="U8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84" s="109">
        <f>Tabel_prc_2022[[#This Row],[procedure - totaal extra punten toev. VdM II t.o.v. huidig]] * tarief_huidig</f>
        <v>0</v>
      </c>
    </row>
    <row r="85" spans="2:22" x14ac:dyDescent="0.3">
      <c r="B85" s="1" t="s">
        <v>80</v>
      </c>
      <c r="C85" s="34" t="s">
        <v>5</v>
      </c>
      <c r="D8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567</v>
      </c>
      <c r="E8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7674</v>
      </c>
      <c r="F85" s="91">
        <f>SUMIFS(Tabel_VAS2022[aantal_VAS],Tabel_VAS2022[Zaakcode],Tabel_prc_2022[[#This Row],[Zaakcode]],Tabel_VAS2022[Adviesofprocedure],"prc",Tabel_VAS2022[code_punten_forfait],10)</f>
        <v>0</v>
      </c>
      <c r="G85" s="92">
        <f>SUMIFS(Tabel_VAS2022[aantal_VAS],Tabel_VAS2022[Zaakcode],Tabel_prc_2022[[#This Row],[Zaakcode]],Tabel_VAS2022[Adviesofprocedure],"prc",Tabel_VAS2022[code_punten_forfait],11)</f>
        <v>467</v>
      </c>
      <c r="H85" s="92">
        <f>SUMIFS(Tabel_VAS2022[aantal_VAS],Tabel_VAS2022[Zaakcode],Tabel_prc_2022[[#This Row],[Zaakcode]],Tabel_VAS2022[Adviesofprocedure],"prc",Tabel_VAS2022[code_punten_forfait],13)</f>
        <v>1</v>
      </c>
      <c r="I85" s="92">
        <f>SUMIFS(Tabel_VAS2022[aantal_VAS],Tabel_VAS2022[Zaakcode],Tabel_prc_2022[[#This Row],[Zaakcode]],Tabel_VAS2022[Adviesofprocedure],"prc",Tabel_VAS2022[code_punten_forfait],14)</f>
        <v>1</v>
      </c>
      <c r="J85" s="92">
        <f>SUMIFS(Tabel_VAS2022[aantal_VAS],Tabel_VAS2022[Zaakcode],Tabel_prc_2022[[#This Row],[Zaakcode]],Tabel_VAS2022[Adviesofprocedure],"prc",Tabel_VAS2022[code_punten_forfait],12)</f>
        <v>97</v>
      </c>
      <c r="K85" s="92">
        <f>SUMIFS(Tabel_VAS2022[aantal_VAS],Tabel_VAS2022[Zaakcode],Tabel_prc_2022[[#This Row],[Zaakcode]],Tabel_VAS2022[Adviesofprocedure],"prc",Tabel_VAS2022[code_punten_forfait],15)</f>
        <v>1</v>
      </c>
      <c r="L85" s="92">
        <f>SUMIFS(Tabel_VAS2022[aantal_VAS],Tabel_VAS2022[Zaakcode],Tabel_prc_2022[[#This Row],[Zaakcode]],Tabel_VAS2022[Adviesofprocedure],"prc",Tabel_VAS2022[code_punten_forfait],16)</f>
        <v>0</v>
      </c>
      <c r="M85" s="35">
        <f>IFERROR(INDEX(Tabel_forfaits[forfait vanaf 2022],MATCH(Tabel_prc_2022[[#This Row],[Zaakcode]],Tabel_forfaits[Zaakcode],0)), "n.v.t.")</f>
        <v>21</v>
      </c>
      <c r="N85" s="35">
        <f>IFERROR(INDEX(Tabel_forfaits[forfait VdM II voor berekening],MATCH(Tabel_prc_2022[[#This Row],[Zaakcode]],Tabel_forfaits[Zaakcode],0)), "n.v.t.")</f>
        <v>22</v>
      </c>
      <c r="O85" s="36"/>
      <c r="P8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564</v>
      </c>
      <c r="Q8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v>
      </c>
      <c r="R8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85" s="35">
        <f>IF(Tabel_prc_2022[[#This Row],[procedure - forfait VdM II]]="n.v.t.",0,  Tabel_prc_2022[[#This Row],[procedure - aantal 0 punten]] * (Tabel_prc_2022[[#This Row],[procedure - forfait VdM II]] - Tabel_prc_2022[[#This Row],[procedure - forfait VdM I]]))</f>
        <v>0</v>
      </c>
      <c r="T8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567</v>
      </c>
      <c r="U8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567.5</v>
      </c>
      <c r="V85" s="109">
        <f>Tabel_prc_2022[[#This Row],[procedure - totaal extra punten toev. VdM II t.o.v. huidig]] * tarief_huidig</f>
        <v>86898.721249999988</v>
      </c>
    </row>
    <row r="86" spans="2:22" x14ac:dyDescent="0.3">
      <c r="B86" s="1" t="s">
        <v>81</v>
      </c>
      <c r="C86" s="34" t="s">
        <v>5</v>
      </c>
      <c r="D8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66</v>
      </c>
      <c r="E8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524.29999999999995</v>
      </c>
      <c r="F86" s="91">
        <f>SUMIFS(Tabel_VAS2022[aantal_VAS],Tabel_VAS2022[Zaakcode],Tabel_prc_2022[[#This Row],[Zaakcode]],Tabel_VAS2022[Adviesofprocedure],"prc",Tabel_VAS2022[code_punten_forfait],10)</f>
        <v>0</v>
      </c>
      <c r="G86" s="92">
        <f>SUMIFS(Tabel_VAS2022[aantal_VAS],Tabel_VAS2022[Zaakcode],Tabel_prc_2022[[#This Row],[Zaakcode]],Tabel_VAS2022[Adviesofprocedure],"prc",Tabel_VAS2022[code_punten_forfait],11)</f>
        <v>44</v>
      </c>
      <c r="H86" s="92">
        <f>SUMIFS(Tabel_VAS2022[aantal_VAS],Tabel_VAS2022[Zaakcode],Tabel_prc_2022[[#This Row],[Zaakcode]],Tabel_VAS2022[Adviesofprocedure],"prc",Tabel_VAS2022[code_punten_forfait],13)</f>
        <v>4</v>
      </c>
      <c r="I86" s="92">
        <f>SUMIFS(Tabel_VAS2022[aantal_VAS],Tabel_VAS2022[Zaakcode],Tabel_prc_2022[[#This Row],[Zaakcode]],Tabel_VAS2022[Adviesofprocedure],"prc",Tabel_VAS2022[code_punten_forfait],14)</f>
        <v>2</v>
      </c>
      <c r="J86" s="92">
        <f>SUMIFS(Tabel_VAS2022[aantal_VAS],Tabel_VAS2022[Zaakcode],Tabel_prc_2022[[#This Row],[Zaakcode]],Tabel_VAS2022[Adviesofprocedure],"prc",Tabel_VAS2022[code_punten_forfait],12)</f>
        <v>14</v>
      </c>
      <c r="K86" s="92">
        <f>SUMIFS(Tabel_VAS2022[aantal_VAS],Tabel_VAS2022[Zaakcode],Tabel_prc_2022[[#This Row],[Zaakcode]],Tabel_VAS2022[Adviesofprocedure],"prc",Tabel_VAS2022[code_punten_forfait],15)</f>
        <v>2</v>
      </c>
      <c r="L86" s="92">
        <f>SUMIFS(Tabel_VAS2022[aantal_VAS],Tabel_VAS2022[Zaakcode],Tabel_prc_2022[[#This Row],[Zaakcode]],Tabel_VAS2022[Adviesofprocedure],"prc",Tabel_VAS2022[code_punten_forfait],16)</f>
        <v>0</v>
      </c>
      <c r="M86" s="35">
        <f>IFERROR(INDEX(Tabel_forfaits[forfait vanaf 2022],MATCH(Tabel_prc_2022[[#This Row],[Zaakcode]],Tabel_forfaits[Zaakcode],0)), "n.v.t.")</f>
        <v>11</v>
      </c>
      <c r="N86" s="35">
        <f>IFERROR(INDEX(Tabel_forfaits[forfait VdM II voor berekening],MATCH(Tabel_prc_2022[[#This Row],[Zaakcode]],Tabel_forfaits[Zaakcode],0)), "n.v.t.")</f>
        <v>11</v>
      </c>
      <c r="O86" s="36"/>
      <c r="P8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8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8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86" s="35">
        <f>IF(Tabel_prc_2022[[#This Row],[procedure - forfait VdM II]]="n.v.t.",0,  Tabel_prc_2022[[#This Row],[procedure - aantal 0 punten]] * (Tabel_prc_2022[[#This Row],[procedure - forfait VdM II]] - Tabel_prc_2022[[#This Row],[procedure - forfait VdM I]]))</f>
        <v>0</v>
      </c>
      <c r="T8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66</v>
      </c>
      <c r="U8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86" s="109">
        <f>Tabel_prc_2022[[#This Row],[procedure - totaal extra punten toev. VdM II t.o.v. huidig]] * tarief_huidig</f>
        <v>0</v>
      </c>
    </row>
    <row r="87" spans="2:22" x14ac:dyDescent="0.3">
      <c r="B87" s="1" t="s">
        <v>82</v>
      </c>
      <c r="C87" s="34" t="s">
        <v>5</v>
      </c>
      <c r="D8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1607</v>
      </c>
      <c r="E8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12121</v>
      </c>
      <c r="F87" s="91">
        <f>SUMIFS(Tabel_VAS2022[aantal_VAS],Tabel_VAS2022[Zaakcode],Tabel_prc_2022[[#This Row],[Zaakcode]],Tabel_VAS2022[Adviesofprocedure],"prc",Tabel_VAS2022[code_punten_forfait],10)</f>
        <v>0</v>
      </c>
      <c r="G87" s="91">
        <f>SUMIFS(Tabel_VAS2022[aantal_VAS],Tabel_VAS2022[Zaakcode],Tabel_prc_2022[[#This Row],[Zaakcode]],Tabel_VAS2022[Adviesofprocedure],"prc",Tabel_VAS2022[code_punten_forfait],11)</f>
        <v>1199</v>
      </c>
      <c r="H87" s="92">
        <f>SUMIFS(Tabel_VAS2022[aantal_VAS],Tabel_VAS2022[Zaakcode],Tabel_prc_2022[[#This Row],[Zaakcode]],Tabel_VAS2022[Adviesofprocedure],"prc",Tabel_VAS2022[code_punten_forfait],13)</f>
        <v>61</v>
      </c>
      <c r="I87" s="92">
        <f>SUMIFS(Tabel_VAS2022[aantal_VAS],Tabel_VAS2022[Zaakcode],Tabel_prc_2022[[#This Row],[Zaakcode]],Tabel_VAS2022[Adviesofprocedure],"prc",Tabel_VAS2022[code_punten_forfait],14)</f>
        <v>6</v>
      </c>
      <c r="J87" s="92">
        <f>SUMIFS(Tabel_VAS2022[aantal_VAS],Tabel_VAS2022[Zaakcode],Tabel_prc_2022[[#This Row],[Zaakcode]],Tabel_VAS2022[Adviesofprocedure],"prc",Tabel_VAS2022[code_punten_forfait],12)</f>
        <v>321</v>
      </c>
      <c r="K87" s="92">
        <f>SUMIFS(Tabel_VAS2022[aantal_VAS],Tabel_VAS2022[Zaakcode],Tabel_prc_2022[[#This Row],[Zaakcode]],Tabel_VAS2022[Adviesofprocedure],"prc",Tabel_VAS2022[code_punten_forfait],15)</f>
        <v>19</v>
      </c>
      <c r="L87" s="92">
        <f>SUMIFS(Tabel_VAS2022[aantal_VAS],Tabel_VAS2022[Zaakcode],Tabel_prc_2022[[#This Row],[Zaakcode]],Tabel_VAS2022[Adviesofprocedure],"prc",Tabel_VAS2022[code_punten_forfait],16)</f>
        <v>1</v>
      </c>
      <c r="M87" s="35">
        <f>IFERROR(INDEX(Tabel_forfaits[forfait vanaf 2022],MATCH(Tabel_prc_2022[[#This Row],[Zaakcode]],Tabel_forfaits[Zaakcode],0)), "n.v.t.")</f>
        <v>10</v>
      </c>
      <c r="N87" s="35">
        <f>IFERROR(INDEX(Tabel_forfaits[forfait VdM II voor berekening],MATCH(Tabel_prc_2022[[#This Row],[Zaakcode]],Tabel_forfaits[Zaakcode],0)), "n.v.t.")</f>
        <v>10</v>
      </c>
      <c r="O87" s="36"/>
      <c r="P8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8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8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87" s="35">
        <f>IF(Tabel_prc_2022[[#This Row],[procedure - forfait VdM II]]="n.v.t.",0,  Tabel_prc_2022[[#This Row],[procedure - aantal 0 punten]] * (Tabel_prc_2022[[#This Row],[procedure - forfait VdM II]] - Tabel_prc_2022[[#This Row],[procedure - forfait VdM I]]))</f>
        <v>0</v>
      </c>
      <c r="T8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1607</v>
      </c>
      <c r="U8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87" s="109">
        <f>Tabel_prc_2022[[#This Row],[procedure - totaal extra punten toev. VdM II t.o.v. huidig]] * tarief_huidig</f>
        <v>0</v>
      </c>
    </row>
    <row r="88" spans="2:22" x14ac:dyDescent="0.3">
      <c r="B88" s="1" t="s">
        <v>83</v>
      </c>
      <c r="C88" s="34" t="s">
        <v>5</v>
      </c>
      <c r="D8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213</v>
      </c>
      <c r="E8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1579.5</v>
      </c>
      <c r="F88" s="91">
        <f>SUMIFS(Tabel_VAS2022[aantal_VAS],Tabel_VAS2022[Zaakcode],Tabel_prc_2022[[#This Row],[Zaakcode]],Tabel_VAS2022[Adviesofprocedure],"prc",Tabel_VAS2022[code_punten_forfait],10)</f>
        <v>0</v>
      </c>
      <c r="G88" s="92">
        <f>SUMIFS(Tabel_VAS2022[aantal_VAS],Tabel_VAS2022[Zaakcode],Tabel_prc_2022[[#This Row],[Zaakcode]],Tabel_VAS2022[Adviesofprocedure],"prc",Tabel_VAS2022[code_punten_forfait],11)</f>
        <v>99</v>
      </c>
      <c r="H88" s="92">
        <f>SUMIFS(Tabel_VAS2022[aantal_VAS],Tabel_VAS2022[Zaakcode],Tabel_prc_2022[[#This Row],[Zaakcode]],Tabel_VAS2022[Adviesofprocedure],"prc",Tabel_VAS2022[code_punten_forfait],13)</f>
        <v>3</v>
      </c>
      <c r="I88" s="92">
        <f>SUMIFS(Tabel_VAS2022[aantal_VAS],Tabel_VAS2022[Zaakcode],Tabel_prc_2022[[#This Row],[Zaakcode]],Tabel_VAS2022[Adviesofprocedure],"prc",Tabel_VAS2022[code_punten_forfait],14)</f>
        <v>0</v>
      </c>
      <c r="J88" s="92">
        <f>SUMIFS(Tabel_VAS2022[aantal_VAS],Tabel_VAS2022[Zaakcode],Tabel_prc_2022[[#This Row],[Zaakcode]],Tabel_VAS2022[Adviesofprocedure],"prc",Tabel_VAS2022[code_punten_forfait],12)</f>
        <v>109</v>
      </c>
      <c r="K88" s="92">
        <f>SUMIFS(Tabel_VAS2022[aantal_VAS],Tabel_VAS2022[Zaakcode],Tabel_prc_2022[[#This Row],[Zaakcode]],Tabel_VAS2022[Adviesofprocedure],"prc",Tabel_VAS2022[code_punten_forfait],15)</f>
        <v>2</v>
      </c>
      <c r="L88" s="92">
        <f>SUMIFS(Tabel_VAS2022[aantal_VAS],Tabel_VAS2022[Zaakcode],Tabel_prc_2022[[#This Row],[Zaakcode]],Tabel_VAS2022[Adviesofprocedure],"prc",Tabel_VAS2022[code_punten_forfait],16)</f>
        <v>0</v>
      </c>
      <c r="M88" s="35">
        <f>IFERROR(INDEX(Tabel_forfaits[forfait vanaf 2022],MATCH(Tabel_prc_2022[[#This Row],[Zaakcode]],Tabel_forfaits[Zaakcode],0)), "n.v.t.")</f>
        <v>8</v>
      </c>
      <c r="N88" s="35">
        <f>IFERROR(INDEX(Tabel_forfaits[forfait VdM II voor berekening],MATCH(Tabel_prc_2022[[#This Row],[Zaakcode]],Tabel_forfaits[Zaakcode],0)), "n.v.t.")</f>
        <v>9</v>
      </c>
      <c r="O88" s="36"/>
      <c r="P8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208</v>
      </c>
      <c r="Q8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v>
      </c>
      <c r="R8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88" s="35">
        <f>IF(Tabel_prc_2022[[#This Row],[procedure - forfait VdM II]]="n.v.t.",0,  Tabel_prc_2022[[#This Row],[procedure - aantal 0 punten]] * (Tabel_prc_2022[[#This Row],[procedure - forfait VdM II]] - Tabel_prc_2022[[#This Row],[procedure - forfait VdM I]]))</f>
        <v>0</v>
      </c>
      <c r="T8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213</v>
      </c>
      <c r="U8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213</v>
      </c>
      <c r="V88" s="109">
        <f>Tabel_prc_2022[[#This Row],[procedure - totaal extra punten toev. VdM II t.o.v. huidig]] * tarief_huidig</f>
        <v>32615.731499999998</v>
      </c>
    </row>
    <row r="89" spans="2:22" x14ac:dyDescent="0.3">
      <c r="B89" s="1" t="s">
        <v>84</v>
      </c>
      <c r="C89" s="34" t="s">
        <v>5</v>
      </c>
      <c r="D8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999</v>
      </c>
      <c r="E8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7752.7999999999993</v>
      </c>
      <c r="F89" s="91">
        <f>SUMIFS(Tabel_VAS2022[aantal_VAS],Tabel_VAS2022[Zaakcode],Tabel_prc_2022[[#This Row],[Zaakcode]],Tabel_VAS2022[Adviesofprocedure],"prc",Tabel_VAS2022[code_punten_forfait],10)</f>
        <v>0</v>
      </c>
      <c r="G89" s="92">
        <f>SUMIFS(Tabel_VAS2022[aantal_VAS],Tabel_VAS2022[Zaakcode],Tabel_prc_2022[[#This Row],[Zaakcode]],Tabel_VAS2022[Adviesofprocedure],"prc",Tabel_VAS2022[code_punten_forfait],11)</f>
        <v>545</v>
      </c>
      <c r="H89" s="92">
        <f>SUMIFS(Tabel_VAS2022[aantal_VAS],Tabel_VAS2022[Zaakcode],Tabel_prc_2022[[#This Row],[Zaakcode]],Tabel_VAS2022[Adviesofprocedure],"prc",Tabel_VAS2022[code_punten_forfait],13)</f>
        <v>35</v>
      </c>
      <c r="I89" s="92">
        <f>SUMIFS(Tabel_VAS2022[aantal_VAS],Tabel_VAS2022[Zaakcode],Tabel_prc_2022[[#This Row],[Zaakcode]],Tabel_VAS2022[Adviesofprocedure],"prc",Tabel_VAS2022[code_punten_forfait],14)</f>
        <v>3</v>
      </c>
      <c r="J89" s="92">
        <f>SUMIFS(Tabel_VAS2022[aantal_VAS],Tabel_VAS2022[Zaakcode],Tabel_prc_2022[[#This Row],[Zaakcode]],Tabel_VAS2022[Adviesofprocedure],"prc",Tabel_VAS2022[code_punten_forfait],12)</f>
        <v>346</v>
      </c>
      <c r="K89" s="92">
        <f>SUMIFS(Tabel_VAS2022[aantal_VAS],Tabel_VAS2022[Zaakcode],Tabel_prc_2022[[#This Row],[Zaakcode]],Tabel_VAS2022[Adviesofprocedure],"prc",Tabel_VAS2022[code_punten_forfait],15)</f>
        <v>69</v>
      </c>
      <c r="L89" s="92">
        <f>SUMIFS(Tabel_VAS2022[aantal_VAS],Tabel_VAS2022[Zaakcode],Tabel_prc_2022[[#This Row],[Zaakcode]],Tabel_VAS2022[Adviesofprocedure],"prc",Tabel_VAS2022[code_punten_forfait],16)</f>
        <v>1</v>
      </c>
      <c r="M89" s="35">
        <f>IFERROR(INDEX(Tabel_forfaits[forfait vanaf 2022],MATCH(Tabel_prc_2022[[#This Row],[Zaakcode]],Tabel_forfaits[Zaakcode],0)), "n.v.t.")</f>
        <v>10</v>
      </c>
      <c r="N89" s="35">
        <f>IFERROR(INDEX(Tabel_forfaits[forfait VdM II voor berekening],MATCH(Tabel_prc_2022[[#This Row],[Zaakcode]],Tabel_forfaits[Zaakcode],0)), "n.v.t.")</f>
        <v>13</v>
      </c>
      <c r="O89" s="36"/>
      <c r="P8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2673</v>
      </c>
      <c r="Q8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312</v>
      </c>
      <c r="R8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18</v>
      </c>
      <c r="S89" s="35">
        <f>IF(Tabel_prc_2022[[#This Row],[procedure - forfait VdM II]]="n.v.t.",0,  Tabel_prc_2022[[#This Row],[procedure - aantal 0 punten]] * (Tabel_prc_2022[[#This Row],[procedure - forfait VdM II]] - Tabel_prc_2022[[#This Row],[procedure - forfait VdM I]]))</f>
        <v>0</v>
      </c>
      <c r="T8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999</v>
      </c>
      <c r="U8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3003</v>
      </c>
      <c r="V89" s="109">
        <f>Tabel_prc_2022[[#This Row],[procedure - totaal extra punten toev. VdM II t.o.v. huidig]] * tarief_huidig</f>
        <v>459835.87649999995</v>
      </c>
    </row>
    <row r="90" spans="2:22" x14ac:dyDescent="0.3">
      <c r="B90" s="1" t="s">
        <v>85</v>
      </c>
      <c r="C90" s="34" t="s">
        <v>5</v>
      </c>
      <c r="D9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229</v>
      </c>
      <c r="E9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2223.3000000000002</v>
      </c>
      <c r="F90" s="91">
        <f>SUMIFS(Tabel_VAS2022[aantal_VAS],Tabel_VAS2022[Zaakcode],Tabel_prc_2022[[#This Row],[Zaakcode]],Tabel_VAS2022[Adviesofprocedure],"prc",Tabel_VAS2022[code_punten_forfait],10)</f>
        <v>0</v>
      </c>
      <c r="G90" s="92">
        <f>SUMIFS(Tabel_VAS2022[aantal_VAS],Tabel_VAS2022[Zaakcode],Tabel_prc_2022[[#This Row],[Zaakcode]],Tabel_VAS2022[Adviesofprocedure],"prc",Tabel_VAS2022[code_punten_forfait],11)</f>
        <v>0</v>
      </c>
      <c r="H90" s="92">
        <f>SUMIFS(Tabel_VAS2022[aantal_VAS],Tabel_VAS2022[Zaakcode],Tabel_prc_2022[[#This Row],[Zaakcode]],Tabel_VAS2022[Adviesofprocedure],"prc",Tabel_VAS2022[code_punten_forfait],13)</f>
        <v>0</v>
      </c>
      <c r="I90" s="92">
        <f>SUMIFS(Tabel_VAS2022[aantal_VAS],Tabel_VAS2022[Zaakcode],Tabel_prc_2022[[#This Row],[Zaakcode]],Tabel_VAS2022[Adviesofprocedure],"prc",Tabel_VAS2022[code_punten_forfait],14)</f>
        <v>0</v>
      </c>
      <c r="J90" s="92">
        <f>SUMIFS(Tabel_VAS2022[aantal_VAS],Tabel_VAS2022[Zaakcode],Tabel_prc_2022[[#This Row],[Zaakcode]],Tabel_VAS2022[Adviesofprocedure],"prc",Tabel_VAS2022[code_punten_forfait],12)</f>
        <v>211</v>
      </c>
      <c r="K90" s="92">
        <f>SUMIFS(Tabel_VAS2022[aantal_VAS],Tabel_VAS2022[Zaakcode],Tabel_prc_2022[[#This Row],[Zaakcode]],Tabel_VAS2022[Adviesofprocedure],"prc",Tabel_VAS2022[code_punten_forfait],15)</f>
        <v>18</v>
      </c>
      <c r="L90" s="92">
        <f>SUMIFS(Tabel_VAS2022[aantal_VAS],Tabel_VAS2022[Zaakcode],Tabel_prc_2022[[#This Row],[Zaakcode]],Tabel_VAS2022[Adviesofprocedure],"prc",Tabel_VAS2022[code_punten_forfait],16)</f>
        <v>0</v>
      </c>
      <c r="M90" s="35">
        <f>IFERROR(INDEX(Tabel_forfaits[forfait vanaf 2022],MATCH(Tabel_prc_2022[[#This Row],[Zaakcode]],Tabel_forfaits[Zaakcode],0)), "n.v.t.")</f>
        <v>10</v>
      </c>
      <c r="N90" s="35">
        <f>IFERROR(INDEX(Tabel_forfaits[forfait VdM II voor berekening],MATCH(Tabel_prc_2022[[#This Row],[Zaakcode]],Tabel_forfaits[Zaakcode],0)), "n.v.t.")</f>
        <v>13</v>
      </c>
      <c r="O90" s="36"/>
      <c r="P9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633</v>
      </c>
      <c r="Q9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54</v>
      </c>
      <c r="R9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0" s="35">
        <f>IF(Tabel_prc_2022[[#This Row],[procedure - forfait VdM II]]="n.v.t.",0,  Tabel_prc_2022[[#This Row],[procedure - aantal 0 punten]] * (Tabel_prc_2022[[#This Row],[procedure - forfait VdM II]] - Tabel_prc_2022[[#This Row],[procedure - forfait VdM I]]))</f>
        <v>0</v>
      </c>
      <c r="T9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229</v>
      </c>
      <c r="U9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687</v>
      </c>
      <c r="V90" s="109">
        <f>Tabel_prc_2022[[#This Row],[procedure - totaal extra punten toev. VdM II t.o.v. huidig]] * tarief_huidig</f>
        <v>105197.21849999999</v>
      </c>
    </row>
    <row r="91" spans="2:22" x14ac:dyDescent="0.3">
      <c r="B91" s="1" t="s">
        <v>86</v>
      </c>
      <c r="C91" s="34" t="s">
        <v>5</v>
      </c>
      <c r="D9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3526</v>
      </c>
      <c r="E9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34920.300000000003</v>
      </c>
      <c r="F91" s="91">
        <f>SUMIFS(Tabel_VAS2022[aantal_VAS],Tabel_VAS2022[Zaakcode],Tabel_prc_2022[[#This Row],[Zaakcode]],Tabel_VAS2022[Adviesofprocedure],"prc",Tabel_VAS2022[code_punten_forfait],10)</f>
        <v>0</v>
      </c>
      <c r="G91" s="91">
        <f>SUMIFS(Tabel_VAS2022[aantal_VAS],Tabel_VAS2022[Zaakcode],Tabel_prc_2022[[#This Row],[Zaakcode]],Tabel_VAS2022[Adviesofprocedure],"prc",Tabel_VAS2022[code_punten_forfait],11)</f>
        <v>1443</v>
      </c>
      <c r="H91" s="92">
        <f>SUMIFS(Tabel_VAS2022[aantal_VAS],Tabel_VAS2022[Zaakcode],Tabel_prc_2022[[#This Row],[Zaakcode]],Tabel_VAS2022[Adviesofprocedure],"prc",Tabel_VAS2022[code_punten_forfait],13)</f>
        <v>9</v>
      </c>
      <c r="I91" s="92">
        <f>SUMIFS(Tabel_VAS2022[aantal_VAS],Tabel_VAS2022[Zaakcode],Tabel_prc_2022[[#This Row],[Zaakcode]],Tabel_VAS2022[Adviesofprocedure],"prc",Tabel_VAS2022[code_punten_forfait],14)</f>
        <v>9</v>
      </c>
      <c r="J91" s="91">
        <f>SUMIFS(Tabel_VAS2022[aantal_VAS],Tabel_VAS2022[Zaakcode],Tabel_prc_2022[[#This Row],[Zaakcode]],Tabel_VAS2022[Adviesofprocedure],"prc",Tabel_VAS2022[code_punten_forfait],12)</f>
        <v>2034</v>
      </c>
      <c r="K91" s="92">
        <f>SUMIFS(Tabel_VAS2022[aantal_VAS],Tabel_VAS2022[Zaakcode],Tabel_prc_2022[[#This Row],[Zaakcode]],Tabel_VAS2022[Adviesofprocedure],"prc",Tabel_VAS2022[code_punten_forfait],15)</f>
        <v>27</v>
      </c>
      <c r="L91" s="92">
        <f>SUMIFS(Tabel_VAS2022[aantal_VAS],Tabel_VAS2022[Zaakcode],Tabel_prc_2022[[#This Row],[Zaakcode]],Tabel_VAS2022[Adviesofprocedure],"prc",Tabel_VAS2022[code_punten_forfait],16)</f>
        <v>4</v>
      </c>
      <c r="M91" s="35">
        <f>IFERROR(INDEX(Tabel_forfaits[forfait vanaf 2022],MATCH(Tabel_prc_2022[[#This Row],[Zaakcode]],Tabel_forfaits[Zaakcode],0)), "n.v.t.")</f>
        <v>12</v>
      </c>
      <c r="N91" s="35">
        <f>IFERROR(INDEX(Tabel_forfaits[forfait VdM II voor berekening],MATCH(Tabel_prc_2022[[#This Row],[Zaakcode]],Tabel_forfaits[Zaakcode],0)), "n.v.t.")</f>
        <v>13</v>
      </c>
      <c r="O91" s="36"/>
      <c r="P9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3477</v>
      </c>
      <c r="Q9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36</v>
      </c>
      <c r="R9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19.5</v>
      </c>
      <c r="S91" s="35">
        <f>IF(Tabel_prc_2022[[#This Row],[procedure - forfait VdM II]]="n.v.t.",0,  Tabel_prc_2022[[#This Row],[procedure - aantal 0 punten]] * (Tabel_prc_2022[[#This Row],[procedure - forfait VdM II]] - Tabel_prc_2022[[#This Row],[procedure - forfait VdM I]]))</f>
        <v>0</v>
      </c>
      <c r="T9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3526</v>
      </c>
      <c r="U9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3532.5</v>
      </c>
      <c r="V91" s="109">
        <f>Tabel_prc_2022[[#This Row],[procedure - totaal extra punten toev. VdM II t.o.v. huidig]] * tarief_huidig</f>
        <v>540915.82874999999</v>
      </c>
    </row>
    <row r="92" spans="2:22" x14ac:dyDescent="0.3">
      <c r="B92" s="1" t="s">
        <v>87</v>
      </c>
      <c r="C92" s="34" t="s">
        <v>5</v>
      </c>
      <c r="D9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379</v>
      </c>
      <c r="E9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4183.7</v>
      </c>
      <c r="F92" s="91">
        <f>SUMIFS(Tabel_VAS2022[aantal_VAS],Tabel_VAS2022[Zaakcode],Tabel_prc_2022[[#This Row],[Zaakcode]],Tabel_VAS2022[Adviesofprocedure],"prc",Tabel_VAS2022[code_punten_forfait],10)</f>
        <v>6</v>
      </c>
      <c r="G92" s="92">
        <f>SUMIFS(Tabel_VAS2022[aantal_VAS],Tabel_VAS2022[Zaakcode],Tabel_prc_2022[[#This Row],[Zaakcode]],Tabel_VAS2022[Adviesofprocedure],"prc",Tabel_VAS2022[code_punten_forfait],11)</f>
        <v>186</v>
      </c>
      <c r="H92" s="92">
        <f>SUMIFS(Tabel_VAS2022[aantal_VAS],Tabel_VAS2022[Zaakcode],Tabel_prc_2022[[#This Row],[Zaakcode]],Tabel_VAS2022[Adviesofprocedure],"prc",Tabel_VAS2022[code_punten_forfait],13)</f>
        <v>13</v>
      </c>
      <c r="I92" s="92">
        <f>SUMIFS(Tabel_VAS2022[aantal_VAS],Tabel_VAS2022[Zaakcode],Tabel_prc_2022[[#This Row],[Zaakcode]],Tabel_VAS2022[Adviesofprocedure],"prc",Tabel_VAS2022[code_punten_forfait],14)</f>
        <v>2</v>
      </c>
      <c r="J92" s="92">
        <f>SUMIFS(Tabel_VAS2022[aantal_VAS],Tabel_VAS2022[Zaakcode],Tabel_prc_2022[[#This Row],[Zaakcode]],Tabel_VAS2022[Adviesofprocedure],"prc",Tabel_VAS2022[code_punten_forfait],12)</f>
        <v>155</v>
      </c>
      <c r="K92" s="92">
        <f>SUMIFS(Tabel_VAS2022[aantal_VAS],Tabel_VAS2022[Zaakcode],Tabel_prc_2022[[#This Row],[Zaakcode]],Tabel_VAS2022[Adviesofprocedure],"prc",Tabel_VAS2022[code_punten_forfait],15)</f>
        <v>17</v>
      </c>
      <c r="L92" s="92">
        <f>SUMIFS(Tabel_VAS2022[aantal_VAS],Tabel_VAS2022[Zaakcode],Tabel_prc_2022[[#This Row],[Zaakcode]],Tabel_VAS2022[Adviesofprocedure],"prc",Tabel_VAS2022[code_punten_forfait],16)</f>
        <v>0</v>
      </c>
      <c r="M92" s="35">
        <f>IFERROR(INDEX(Tabel_forfaits[forfait vanaf 2022],MATCH(Tabel_prc_2022[[#This Row],[Zaakcode]],Tabel_forfaits[Zaakcode],0)), "n.v.t.")</f>
        <v>15</v>
      </c>
      <c r="N92" s="35">
        <f>IFERROR(INDEX(Tabel_forfaits[forfait VdM II voor berekening],MATCH(Tabel_prc_2022[[#This Row],[Zaakcode]],Tabel_forfaits[Zaakcode],0)), "n.v.t.")</f>
        <v>17</v>
      </c>
      <c r="O92" s="36"/>
      <c r="P9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682</v>
      </c>
      <c r="Q9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60</v>
      </c>
      <c r="R9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6</v>
      </c>
      <c r="S92" s="35">
        <f>IF(Tabel_prc_2022[[#This Row],[procedure - forfait VdM II]]="n.v.t.",0,  Tabel_prc_2022[[#This Row],[procedure - aantal 0 punten]] * (Tabel_prc_2022[[#This Row],[procedure - forfait VdM II]] - Tabel_prc_2022[[#This Row],[procedure - forfait VdM I]]))</f>
        <v>12</v>
      </c>
      <c r="T9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373</v>
      </c>
      <c r="U9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748</v>
      </c>
      <c r="V92" s="109">
        <f>Tabel_prc_2022[[#This Row],[procedure - totaal extra punten toev. VdM II t.o.v. huidig]] * tarief_huidig</f>
        <v>114537.874</v>
      </c>
    </row>
    <row r="93" spans="2:22" x14ac:dyDescent="0.3">
      <c r="B93" s="1" t="s">
        <v>88</v>
      </c>
      <c r="C93" s="34" t="s">
        <v>5</v>
      </c>
      <c r="D9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1960</v>
      </c>
      <c r="E9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11379.6</v>
      </c>
      <c r="F93" s="91">
        <f>SUMIFS(Tabel_VAS2022[aantal_VAS],Tabel_VAS2022[Zaakcode],Tabel_prc_2022[[#This Row],[Zaakcode]],Tabel_VAS2022[Adviesofprocedure],"prc",Tabel_VAS2022[code_punten_forfait],10)</f>
        <v>1</v>
      </c>
      <c r="G93" s="92">
        <f>SUMIFS(Tabel_VAS2022[aantal_VAS],Tabel_VAS2022[Zaakcode],Tabel_prc_2022[[#This Row],[Zaakcode]],Tabel_VAS2022[Adviesofprocedure],"prc",Tabel_VAS2022[code_punten_forfait],11)</f>
        <v>514</v>
      </c>
      <c r="H93" s="92">
        <f>SUMIFS(Tabel_VAS2022[aantal_VAS],Tabel_VAS2022[Zaakcode],Tabel_prc_2022[[#This Row],[Zaakcode]],Tabel_VAS2022[Adviesofprocedure],"prc",Tabel_VAS2022[code_punten_forfait],13)</f>
        <v>16</v>
      </c>
      <c r="I93" s="92">
        <f>SUMIFS(Tabel_VAS2022[aantal_VAS],Tabel_VAS2022[Zaakcode],Tabel_prc_2022[[#This Row],[Zaakcode]],Tabel_VAS2022[Adviesofprocedure],"prc",Tabel_VAS2022[code_punten_forfait],14)</f>
        <v>25</v>
      </c>
      <c r="J93" s="91">
        <f>SUMIFS(Tabel_VAS2022[aantal_VAS],Tabel_VAS2022[Zaakcode],Tabel_prc_2022[[#This Row],[Zaakcode]],Tabel_VAS2022[Adviesofprocedure],"prc",Tabel_VAS2022[code_punten_forfait],12)</f>
        <v>1304</v>
      </c>
      <c r="K93" s="92">
        <f>SUMIFS(Tabel_VAS2022[aantal_VAS],Tabel_VAS2022[Zaakcode],Tabel_prc_2022[[#This Row],[Zaakcode]],Tabel_VAS2022[Adviesofprocedure],"prc",Tabel_VAS2022[code_punten_forfait],15)</f>
        <v>83</v>
      </c>
      <c r="L93" s="92">
        <f>SUMIFS(Tabel_VAS2022[aantal_VAS],Tabel_VAS2022[Zaakcode],Tabel_prc_2022[[#This Row],[Zaakcode]],Tabel_VAS2022[Adviesofprocedure],"prc",Tabel_VAS2022[code_punten_forfait],16)</f>
        <v>17</v>
      </c>
      <c r="M93" s="35">
        <f>IFERROR(INDEX(Tabel_forfaits[forfait vanaf 2022],MATCH(Tabel_prc_2022[[#This Row],[Zaakcode]],Tabel_forfaits[Zaakcode],0)), "n.v.t.")</f>
        <v>6</v>
      </c>
      <c r="N93" s="35">
        <f>IFERROR(INDEX(Tabel_forfaits[forfait VdM II voor berekening],MATCH(Tabel_prc_2022[[#This Row],[Zaakcode]],Tabel_forfaits[Zaakcode],0)), "n.v.t.")</f>
        <v>6</v>
      </c>
      <c r="O93" s="36"/>
      <c r="P9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9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9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3" s="35">
        <f>IF(Tabel_prc_2022[[#This Row],[procedure - forfait VdM II]]="n.v.t.",0,  Tabel_prc_2022[[#This Row],[procedure - aantal 0 punten]] * (Tabel_prc_2022[[#This Row],[procedure - forfait VdM II]] - Tabel_prc_2022[[#This Row],[procedure - forfait VdM I]]))</f>
        <v>0</v>
      </c>
      <c r="T9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1959</v>
      </c>
      <c r="U9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93" s="109">
        <f>Tabel_prc_2022[[#This Row],[procedure - totaal extra punten toev. VdM II t.o.v. huidig]] * tarief_huidig</f>
        <v>0</v>
      </c>
    </row>
    <row r="94" spans="2:22" x14ac:dyDescent="0.3">
      <c r="B94" s="1" t="s">
        <v>89</v>
      </c>
      <c r="C94" s="34" t="s">
        <v>5</v>
      </c>
      <c r="D9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3951</v>
      </c>
      <c r="E9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25533</v>
      </c>
      <c r="F94" s="91">
        <f>SUMIFS(Tabel_VAS2022[aantal_VAS],Tabel_VAS2022[Zaakcode],Tabel_prc_2022[[#This Row],[Zaakcode]],Tabel_VAS2022[Adviesofprocedure],"prc",Tabel_VAS2022[code_punten_forfait],10)</f>
        <v>0</v>
      </c>
      <c r="G94" s="91">
        <f>SUMIFS(Tabel_VAS2022[aantal_VAS],Tabel_VAS2022[Zaakcode],Tabel_prc_2022[[#This Row],[Zaakcode]],Tabel_VAS2022[Adviesofprocedure],"prc",Tabel_VAS2022[code_punten_forfait],11)</f>
        <v>1139</v>
      </c>
      <c r="H94" s="92">
        <f>SUMIFS(Tabel_VAS2022[aantal_VAS],Tabel_VAS2022[Zaakcode],Tabel_prc_2022[[#This Row],[Zaakcode]],Tabel_VAS2022[Adviesofprocedure],"prc",Tabel_VAS2022[code_punten_forfait],13)</f>
        <v>220</v>
      </c>
      <c r="I94" s="92">
        <f>SUMIFS(Tabel_VAS2022[aantal_VAS],Tabel_VAS2022[Zaakcode],Tabel_prc_2022[[#This Row],[Zaakcode]],Tabel_VAS2022[Adviesofprocedure],"prc",Tabel_VAS2022[code_punten_forfait],14)</f>
        <v>30</v>
      </c>
      <c r="J94" s="91">
        <f>SUMIFS(Tabel_VAS2022[aantal_VAS],Tabel_VAS2022[Zaakcode],Tabel_prc_2022[[#This Row],[Zaakcode]],Tabel_VAS2022[Adviesofprocedure],"prc",Tabel_VAS2022[code_punten_forfait],12)</f>
        <v>2188</v>
      </c>
      <c r="K94" s="92">
        <f>SUMIFS(Tabel_VAS2022[aantal_VAS],Tabel_VAS2022[Zaakcode],Tabel_prc_2022[[#This Row],[Zaakcode]],Tabel_VAS2022[Adviesofprocedure],"prc",Tabel_VAS2022[code_punten_forfait],15)</f>
        <v>361</v>
      </c>
      <c r="L94" s="92">
        <f>SUMIFS(Tabel_VAS2022[aantal_VAS],Tabel_VAS2022[Zaakcode],Tabel_prc_2022[[#This Row],[Zaakcode]],Tabel_VAS2022[Adviesofprocedure],"prc",Tabel_VAS2022[code_punten_forfait],16)</f>
        <v>13</v>
      </c>
      <c r="M94" s="35">
        <f>IFERROR(INDEX(Tabel_forfaits[forfait vanaf 2022],MATCH(Tabel_prc_2022[[#This Row],[Zaakcode]],Tabel_forfaits[Zaakcode],0)), "n.v.t.")</f>
        <v>7</v>
      </c>
      <c r="N94" s="35">
        <f>IFERROR(INDEX(Tabel_forfaits[forfait VdM II voor berekening],MATCH(Tabel_prc_2022[[#This Row],[Zaakcode]],Tabel_forfaits[Zaakcode],0)), "n.v.t.")</f>
        <v>7</v>
      </c>
      <c r="O94" s="36"/>
      <c r="P9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9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9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4" s="35">
        <f>IF(Tabel_prc_2022[[#This Row],[procedure - forfait VdM II]]="n.v.t.",0,  Tabel_prc_2022[[#This Row],[procedure - aantal 0 punten]] * (Tabel_prc_2022[[#This Row],[procedure - forfait VdM II]] - Tabel_prc_2022[[#This Row],[procedure - forfait VdM I]]))</f>
        <v>0</v>
      </c>
      <c r="T9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3951</v>
      </c>
      <c r="U9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94" s="109">
        <f>Tabel_prc_2022[[#This Row],[procedure - totaal extra punten toev. VdM II t.o.v. huidig]] * tarief_huidig</f>
        <v>0</v>
      </c>
    </row>
    <row r="95" spans="2:22" x14ac:dyDescent="0.3">
      <c r="B95" s="1" t="s">
        <v>90</v>
      </c>
      <c r="C95" s="34" t="s">
        <v>5</v>
      </c>
      <c r="D9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1490</v>
      </c>
      <c r="E9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8463</v>
      </c>
      <c r="F95" s="91">
        <f>SUMIFS(Tabel_VAS2022[aantal_VAS],Tabel_VAS2022[Zaakcode],Tabel_prc_2022[[#This Row],[Zaakcode]],Tabel_VAS2022[Adviesofprocedure],"prc",Tabel_VAS2022[code_punten_forfait],10)</f>
        <v>0</v>
      </c>
      <c r="G95" s="92">
        <f>SUMIFS(Tabel_VAS2022[aantal_VAS],Tabel_VAS2022[Zaakcode],Tabel_prc_2022[[#This Row],[Zaakcode]],Tabel_VAS2022[Adviesofprocedure],"prc",Tabel_VAS2022[code_punten_forfait],11)</f>
        <v>457</v>
      </c>
      <c r="H95" s="92">
        <f>SUMIFS(Tabel_VAS2022[aantal_VAS],Tabel_VAS2022[Zaakcode],Tabel_prc_2022[[#This Row],[Zaakcode]],Tabel_VAS2022[Adviesofprocedure],"prc",Tabel_VAS2022[code_punten_forfait],13)</f>
        <v>7</v>
      </c>
      <c r="I95" s="92">
        <f>SUMIFS(Tabel_VAS2022[aantal_VAS],Tabel_VAS2022[Zaakcode],Tabel_prc_2022[[#This Row],[Zaakcode]],Tabel_VAS2022[Adviesofprocedure],"prc",Tabel_VAS2022[code_punten_forfait],14)</f>
        <v>11</v>
      </c>
      <c r="J95" s="92">
        <f>SUMIFS(Tabel_VAS2022[aantal_VAS],Tabel_VAS2022[Zaakcode],Tabel_prc_2022[[#This Row],[Zaakcode]],Tabel_VAS2022[Adviesofprocedure],"prc",Tabel_VAS2022[code_punten_forfait],12)</f>
        <v>969</v>
      </c>
      <c r="K95" s="92">
        <f>SUMIFS(Tabel_VAS2022[aantal_VAS],Tabel_VAS2022[Zaakcode],Tabel_prc_2022[[#This Row],[Zaakcode]],Tabel_VAS2022[Adviesofprocedure],"prc",Tabel_VAS2022[code_punten_forfait],15)</f>
        <v>41</v>
      </c>
      <c r="L95" s="92">
        <f>SUMIFS(Tabel_VAS2022[aantal_VAS],Tabel_VAS2022[Zaakcode],Tabel_prc_2022[[#This Row],[Zaakcode]],Tabel_VAS2022[Adviesofprocedure],"prc",Tabel_VAS2022[code_punten_forfait],16)</f>
        <v>5</v>
      </c>
      <c r="M95" s="35">
        <f>IFERROR(INDEX(Tabel_forfaits[forfait vanaf 2022],MATCH(Tabel_prc_2022[[#This Row],[Zaakcode]],Tabel_forfaits[Zaakcode],0)), "n.v.t.")</f>
        <v>6</v>
      </c>
      <c r="N95" s="35">
        <f>IFERROR(INDEX(Tabel_forfaits[forfait VdM II voor berekening],MATCH(Tabel_prc_2022[[#This Row],[Zaakcode]],Tabel_forfaits[Zaakcode],0)), "n.v.t.")</f>
        <v>5</v>
      </c>
      <c r="O95" s="36"/>
      <c r="P9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-1426</v>
      </c>
      <c r="Q9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-48</v>
      </c>
      <c r="R9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-24</v>
      </c>
      <c r="S95" s="35">
        <f>IF(Tabel_prc_2022[[#This Row],[procedure - forfait VdM II]]="n.v.t.",0,  Tabel_prc_2022[[#This Row],[procedure - aantal 0 punten]] * (Tabel_prc_2022[[#This Row],[procedure - forfait VdM II]] - Tabel_prc_2022[[#This Row],[procedure - forfait VdM I]]))</f>
        <v>0</v>
      </c>
      <c r="T9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1490</v>
      </c>
      <c r="U9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-1498</v>
      </c>
      <c r="V95" s="109">
        <f>Tabel_prc_2022[[#This Row],[procedure - totaal extra punten toev. VdM II t.o.v. huidig]] * tarief_huidig</f>
        <v>-229381.99899999998</v>
      </c>
    </row>
    <row r="96" spans="2:22" x14ac:dyDescent="0.3">
      <c r="B96" s="1" t="s">
        <v>91</v>
      </c>
      <c r="C96" s="34" t="s">
        <v>5</v>
      </c>
      <c r="D9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37846</v>
      </c>
      <c r="E9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247715.1</v>
      </c>
      <c r="F96" s="91">
        <f>SUMIFS(Tabel_VAS2022[aantal_VAS],Tabel_VAS2022[Zaakcode],Tabel_prc_2022[[#This Row],[Zaakcode]],Tabel_VAS2022[Adviesofprocedure],"prc",Tabel_VAS2022[code_punten_forfait],10)</f>
        <v>5</v>
      </c>
      <c r="G96" s="91">
        <f>SUMIFS(Tabel_VAS2022[aantal_VAS],Tabel_VAS2022[Zaakcode],Tabel_prc_2022[[#This Row],[Zaakcode]],Tabel_VAS2022[Adviesofprocedure],"prc",Tabel_VAS2022[code_punten_forfait],11)</f>
        <v>11754</v>
      </c>
      <c r="H96" s="91">
        <f>SUMIFS(Tabel_VAS2022[aantal_VAS],Tabel_VAS2022[Zaakcode],Tabel_prc_2022[[#This Row],[Zaakcode]],Tabel_VAS2022[Adviesofprocedure],"prc",Tabel_VAS2022[code_punten_forfait],13)</f>
        <v>1875</v>
      </c>
      <c r="I96" s="92">
        <f>SUMIFS(Tabel_VAS2022[aantal_VAS],Tabel_VAS2022[Zaakcode],Tabel_prc_2022[[#This Row],[Zaakcode]],Tabel_VAS2022[Adviesofprocedure],"prc",Tabel_VAS2022[code_punten_forfait],14)</f>
        <v>430</v>
      </c>
      <c r="J96" s="91">
        <f>SUMIFS(Tabel_VAS2022[aantal_VAS],Tabel_VAS2022[Zaakcode],Tabel_prc_2022[[#This Row],[Zaakcode]],Tabel_VAS2022[Adviesofprocedure],"prc",Tabel_VAS2022[code_punten_forfait],12)</f>
        <v>21281</v>
      </c>
      <c r="K96" s="91">
        <f>SUMIFS(Tabel_VAS2022[aantal_VAS],Tabel_VAS2022[Zaakcode],Tabel_prc_2022[[#This Row],[Zaakcode]],Tabel_VAS2022[Adviesofprocedure],"prc",Tabel_VAS2022[code_punten_forfait],15)</f>
        <v>1815</v>
      </c>
      <c r="L96" s="92">
        <f>SUMIFS(Tabel_VAS2022[aantal_VAS],Tabel_VAS2022[Zaakcode],Tabel_prc_2022[[#This Row],[Zaakcode]],Tabel_VAS2022[Adviesofprocedure],"prc",Tabel_VAS2022[code_punten_forfait],16)</f>
        <v>686</v>
      </c>
      <c r="M96" s="35">
        <f>IFERROR(INDEX(Tabel_forfaits[forfait vanaf 2022],MATCH(Tabel_prc_2022[[#This Row],[Zaakcode]],Tabel_forfaits[Zaakcode],0)), "n.v.t.")</f>
        <v>7</v>
      </c>
      <c r="N96" s="35">
        <f>IFERROR(INDEX(Tabel_forfaits[forfait VdM II voor berekening],MATCH(Tabel_prc_2022[[#This Row],[Zaakcode]],Tabel_forfaits[Zaakcode],0)), "n.v.t.")</f>
        <v>7</v>
      </c>
      <c r="O96" s="36"/>
      <c r="P9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9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9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6" s="35">
        <f>IF(Tabel_prc_2022[[#This Row],[procedure - forfait VdM II]]="n.v.t.",0,  Tabel_prc_2022[[#This Row],[procedure - aantal 0 punten]] * (Tabel_prc_2022[[#This Row],[procedure - forfait VdM II]] - Tabel_prc_2022[[#This Row],[procedure - forfait VdM I]]))</f>
        <v>0</v>
      </c>
      <c r="T9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37841</v>
      </c>
      <c r="U9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96" s="109">
        <f>Tabel_prc_2022[[#This Row],[procedure - totaal extra punten toev. VdM II t.o.v. huidig]] * tarief_huidig</f>
        <v>0</v>
      </c>
    </row>
    <row r="97" spans="2:22" x14ac:dyDescent="0.3">
      <c r="B97" s="1" t="s">
        <v>92</v>
      </c>
      <c r="C97" s="34" t="s">
        <v>5</v>
      </c>
      <c r="D9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6686</v>
      </c>
      <c r="E9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38457.899999999994</v>
      </c>
      <c r="F97" s="91">
        <f>SUMIFS(Tabel_VAS2022[aantal_VAS],Tabel_VAS2022[Zaakcode],Tabel_prc_2022[[#This Row],[Zaakcode]],Tabel_VAS2022[Adviesofprocedure],"prc",Tabel_VAS2022[code_punten_forfait],10)</f>
        <v>0</v>
      </c>
      <c r="G97" s="91">
        <f>SUMIFS(Tabel_VAS2022[aantal_VAS],Tabel_VAS2022[Zaakcode],Tabel_prc_2022[[#This Row],[Zaakcode]],Tabel_VAS2022[Adviesofprocedure],"prc",Tabel_VAS2022[code_punten_forfait],11)</f>
        <v>1280</v>
      </c>
      <c r="H97" s="92">
        <f>SUMIFS(Tabel_VAS2022[aantal_VAS],Tabel_VAS2022[Zaakcode],Tabel_prc_2022[[#This Row],[Zaakcode]],Tabel_VAS2022[Adviesofprocedure],"prc",Tabel_VAS2022[code_punten_forfait],13)</f>
        <v>559</v>
      </c>
      <c r="I97" s="92">
        <f>SUMIFS(Tabel_VAS2022[aantal_VAS],Tabel_VAS2022[Zaakcode],Tabel_prc_2022[[#This Row],[Zaakcode]],Tabel_VAS2022[Adviesofprocedure],"prc",Tabel_VAS2022[code_punten_forfait],14)</f>
        <v>19</v>
      </c>
      <c r="J97" s="91">
        <f>SUMIFS(Tabel_VAS2022[aantal_VAS],Tabel_VAS2022[Zaakcode],Tabel_prc_2022[[#This Row],[Zaakcode]],Tabel_VAS2022[Adviesofprocedure],"prc",Tabel_VAS2022[code_punten_forfait],12)</f>
        <v>3650</v>
      </c>
      <c r="K97" s="91">
        <f>SUMIFS(Tabel_VAS2022[aantal_VAS],Tabel_VAS2022[Zaakcode],Tabel_prc_2022[[#This Row],[Zaakcode]],Tabel_VAS2022[Adviesofprocedure],"prc",Tabel_VAS2022[code_punten_forfait],15)</f>
        <v>1158</v>
      </c>
      <c r="L97" s="92">
        <f>SUMIFS(Tabel_VAS2022[aantal_VAS],Tabel_VAS2022[Zaakcode],Tabel_prc_2022[[#This Row],[Zaakcode]],Tabel_VAS2022[Adviesofprocedure],"prc",Tabel_VAS2022[code_punten_forfait],16)</f>
        <v>20</v>
      </c>
      <c r="M97" s="35">
        <f>IFERROR(INDEX(Tabel_forfaits[forfait vanaf 2022],MATCH(Tabel_prc_2022[[#This Row],[Zaakcode]],Tabel_forfaits[Zaakcode],0)), "n.v.t.")</f>
        <v>6</v>
      </c>
      <c r="N97" s="35">
        <f>IFERROR(INDEX(Tabel_forfaits[forfait VdM II voor berekening],MATCH(Tabel_prc_2022[[#This Row],[Zaakcode]],Tabel_forfaits[Zaakcode],0)), "n.v.t.")</f>
        <v>6</v>
      </c>
      <c r="O97" s="36"/>
      <c r="P9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9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9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7" s="35">
        <f>IF(Tabel_prc_2022[[#This Row],[procedure - forfait VdM II]]="n.v.t.",0,  Tabel_prc_2022[[#This Row],[procedure - aantal 0 punten]] * (Tabel_prc_2022[[#This Row],[procedure - forfait VdM II]] - Tabel_prc_2022[[#This Row],[procedure - forfait VdM I]]))</f>
        <v>0</v>
      </c>
      <c r="T9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6686</v>
      </c>
      <c r="U9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97" s="109">
        <f>Tabel_prc_2022[[#This Row],[procedure - totaal extra punten toev. VdM II t.o.v. huidig]] * tarief_huidig</f>
        <v>0</v>
      </c>
    </row>
    <row r="98" spans="2:22" x14ac:dyDescent="0.3">
      <c r="B98" s="1" t="s">
        <v>93</v>
      </c>
      <c r="C98" s="34" t="s">
        <v>5</v>
      </c>
      <c r="D9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2695</v>
      </c>
      <c r="E9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13081.8</v>
      </c>
      <c r="F98" s="91">
        <f>SUMIFS(Tabel_VAS2022[aantal_VAS],Tabel_VAS2022[Zaakcode],Tabel_prc_2022[[#This Row],[Zaakcode]],Tabel_VAS2022[Adviesofprocedure],"prc",Tabel_VAS2022[code_punten_forfait],10)</f>
        <v>0</v>
      </c>
      <c r="G98" s="92">
        <f>SUMIFS(Tabel_VAS2022[aantal_VAS],Tabel_VAS2022[Zaakcode],Tabel_prc_2022[[#This Row],[Zaakcode]],Tabel_VAS2022[Adviesofprocedure],"prc",Tabel_VAS2022[code_punten_forfait],11)</f>
        <v>450</v>
      </c>
      <c r="H98" s="92">
        <f>SUMIFS(Tabel_VAS2022[aantal_VAS],Tabel_VAS2022[Zaakcode],Tabel_prc_2022[[#This Row],[Zaakcode]],Tabel_VAS2022[Adviesofprocedure],"prc",Tabel_VAS2022[code_punten_forfait],13)</f>
        <v>1</v>
      </c>
      <c r="I98" s="92">
        <f>SUMIFS(Tabel_VAS2022[aantal_VAS],Tabel_VAS2022[Zaakcode],Tabel_prc_2022[[#This Row],[Zaakcode]],Tabel_VAS2022[Adviesofprocedure],"prc",Tabel_VAS2022[code_punten_forfait],14)</f>
        <v>4</v>
      </c>
      <c r="J98" s="91">
        <f>SUMIFS(Tabel_VAS2022[aantal_VAS],Tabel_VAS2022[Zaakcode],Tabel_prc_2022[[#This Row],[Zaakcode]],Tabel_VAS2022[Adviesofprocedure],"prc",Tabel_VAS2022[code_punten_forfait],12)</f>
        <v>2181</v>
      </c>
      <c r="K98" s="92">
        <f>SUMIFS(Tabel_VAS2022[aantal_VAS],Tabel_VAS2022[Zaakcode],Tabel_prc_2022[[#This Row],[Zaakcode]],Tabel_VAS2022[Adviesofprocedure],"prc",Tabel_VAS2022[code_punten_forfait],15)</f>
        <v>18</v>
      </c>
      <c r="L98" s="92">
        <f>SUMIFS(Tabel_VAS2022[aantal_VAS],Tabel_VAS2022[Zaakcode],Tabel_prc_2022[[#This Row],[Zaakcode]],Tabel_VAS2022[Adviesofprocedure],"prc",Tabel_VAS2022[code_punten_forfait],16)</f>
        <v>41</v>
      </c>
      <c r="M98" s="35">
        <f>IFERROR(INDEX(Tabel_forfaits[forfait vanaf 2022],MATCH(Tabel_prc_2022[[#This Row],[Zaakcode]],Tabel_forfaits[Zaakcode],0)), "n.v.t.")</f>
        <v>5</v>
      </c>
      <c r="N98" s="35">
        <f>IFERROR(INDEX(Tabel_forfaits[forfait VdM II voor berekening],MATCH(Tabel_prc_2022[[#This Row],[Zaakcode]],Tabel_forfaits[Zaakcode],0)), "n.v.t.")</f>
        <v>5</v>
      </c>
      <c r="O98" s="36"/>
      <c r="P9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9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9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98" s="35">
        <f>IF(Tabel_prc_2022[[#This Row],[procedure - forfait VdM II]]="n.v.t.",0,  Tabel_prc_2022[[#This Row],[procedure - aantal 0 punten]] * (Tabel_prc_2022[[#This Row],[procedure - forfait VdM II]] - Tabel_prc_2022[[#This Row],[procedure - forfait VdM I]]))</f>
        <v>0</v>
      </c>
      <c r="T9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2695</v>
      </c>
      <c r="U9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98" s="109">
        <f>Tabel_prc_2022[[#This Row],[procedure - totaal extra punten toev. VdM II t.o.v. huidig]] * tarief_huidig</f>
        <v>0</v>
      </c>
    </row>
    <row r="99" spans="2:22" x14ac:dyDescent="0.3">
      <c r="B99" s="1" t="s">
        <v>94</v>
      </c>
      <c r="C99" s="34" t="s">
        <v>5</v>
      </c>
      <c r="D9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12801</v>
      </c>
      <c r="E9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136108.5</v>
      </c>
      <c r="F99" s="91">
        <f>SUMIFS(Tabel_VAS2022[aantal_VAS],Tabel_VAS2022[Zaakcode],Tabel_prc_2022[[#This Row],[Zaakcode]],Tabel_VAS2022[Adviesofprocedure],"prc",Tabel_VAS2022[code_punten_forfait],10)</f>
        <v>9</v>
      </c>
      <c r="G99" s="91">
        <f>SUMIFS(Tabel_VAS2022[aantal_VAS],Tabel_VAS2022[Zaakcode],Tabel_prc_2022[[#This Row],[Zaakcode]],Tabel_VAS2022[Adviesofprocedure],"prc",Tabel_VAS2022[code_punten_forfait],11)</f>
        <v>6376</v>
      </c>
      <c r="H99" s="92">
        <f>SUMIFS(Tabel_VAS2022[aantal_VAS],Tabel_VAS2022[Zaakcode],Tabel_prc_2022[[#This Row],[Zaakcode]],Tabel_VAS2022[Adviesofprocedure],"prc",Tabel_VAS2022[code_punten_forfait],13)</f>
        <v>557</v>
      </c>
      <c r="I99" s="92">
        <f>SUMIFS(Tabel_VAS2022[aantal_VAS],Tabel_VAS2022[Zaakcode],Tabel_prc_2022[[#This Row],[Zaakcode]],Tabel_VAS2022[Adviesofprocedure],"prc",Tabel_VAS2022[code_punten_forfait],14)</f>
        <v>695</v>
      </c>
      <c r="J99" s="91">
        <f>SUMIFS(Tabel_VAS2022[aantal_VAS],Tabel_VAS2022[Zaakcode],Tabel_prc_2022[[#This Row],[Zaakcode]],Tabel_VAS2022[Adviesofprocedure],"prc",Tabel_VAS2022[code_punten_forfait],12)</f>
        <v>4341</v>
      </c>
      <c r="K99" s="92">
        <f>SUMIFS(Tabel_VAS2022[aantal_VAS],Tabel_VAS2022[Zaakcode],Tabel_prc_2022[[#This Row],[Zaakcode]],Tabel_VAS2022[Adviesofprocedure],"prc",Tabel_VAS2022[code_punten_forfait],15)</f>
        <v>613</v>
      </c>
      <c r="L99" s="92">
        <f>SUMIFS(Tabel_VAS2022[aantal_VAS],Tabel_VAS2022[Zaakcode],Tabel_prc_2022[[#This Row],[Zaakcode]],Tabel_VAS2022[Adviesofprocedure],"prc",Tabel_VAS2022[code_punten_forfait],16)</f>
        <v>210</v>
      </c>
      <c r="M99" s="35">
        <f>IFERROR(INDEX(Tabel_forfaits[forfait vanaf 2022],MATCH(Tabel_prc_2022[[#This Row],[Zaakcode]],Tabel_forfaits[Zaakcode],0)), "n.v.t.")</f>
        <v>14</v>
      </c>
      <c r="N99" s="35">
        <f>IFERROR(INDEX(Tabel_forfaits[forfait VdM II voor berekening],MATCH(Tabel_prc_2022[[#This Row],[Zaakcode]],Tabel_forfaits[Zaakcode],0)), "n.v.t.")</f>
        <v>15</v>
      </c>
      <c r="O99" s="36"/>
      <c r="P9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10717</v>
      </c>
      <c r="Q9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1170</v>
      </c>
      <c r="R9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1357.5</v>
      </c>
      <c r="S99" s="35">
        <f>IF(Tabel_prc_2022[[#This Row],[procedure - forfait VdM II]]="n.v.t.",0,  Tabel_prc_2022[[#This Row],[procedure - aantal 0 punten]] * (Tabel_prc_2022[[#This Row],[procedure - forfait VdM II]] - Tabel_prc_2022[[#This Row],[procedure - forfait VdM I]]))</f>
        <v>9</v>
      </c>
      <c r="T9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12792</v>
      </c>
      <c r="U9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13244.5</v>
      </c>
      <c r="V99" s="109">
        <f>Tabel_prc_2022[[#This Row],[procedure - totaal extra punten toev. VdM II t.o.v. huidig]] * tarief_huidig</f>
        <v>2028070.6847499998</v>
      </c>
    </row>
    <row r="100" spans="2:22" x14ac:dyDescent="0.3">
      <c r="B100" s="1" t="s">
        <v>95</v>
      </c>
      <c r="C100" s="34" t="s">
        <v>5</v>
      </c>
      <c r="D10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6368</v>
      </c>
      <c r="E10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50387</v>
      </c>
      <c r="F100" s="91">
        <f>SUMIFS(Tabel_VAS2022[aantal_VAS],Tabel_VAS2022[Zaakcode],Tabel_prc_2022[[#This Row],[Zaakcode]],Tabel_VAS2022[Adviesofprocedure],"prc",Tabel_VAS2022[code_punten_forfait],10)</f>
        <v>1</v>
      </c>
      <c r="G100" s="91">
        <f>SUMIFS(Tabel_VAS2022[aantal_VAS],Tabel_VAS2022[Zaakcode],Tabel_prc_2022[[#This Row],[Zaakcode]],Tabel_VAS2022[Adviesofprocedure],"prc",Tabel_VAS2022[code_punten_forfait],11)</f>
        <v>3902</v>
      </c>
      <c r="H100" s="92">
        <f>SUMIFS(Tabel_VAS2022[aantal_VAS],Tabel_VAS2022[Zaakcode],Tabel_prc_2022[[#This Row],[Zaakcode]],Tabel_VAS2022[Adviesofprocedure],"prc",Tabel_VAS2022[code_punten_forfait],13)</f>
        <v>5</v>
      </c>
      <c r="I100" s="92">
        <f>SUMIFS(Tabel_VAS2022[aantal_VAS],Tabel_VAS2022[Zaakcode],Tabel_prc_2022[[#This Row],[Zaakcode]],Tabel_VAS2022[Adviesofprocedure],"prc",Tabel_VAS2022[code_punten_forfait],14)</f>
        <v>2</v>
      </c>
      <c r="J100" s="91">
        <f>SUMIFS(Tabel_VAS2022[aantal_VAS],Tabel_VAS2022[Zaakcode],Tabel_prc_2022[[#This Row],[Zaakcode]],Tabel_VAS2022[Adviesofprocedure],"prc",Tabel_VAS2022[code_punten_forfait],12)</f>
        <v>2365</v>
      </c>
      <c r="K100" s="92">
        <f>SUMIFS(Tabel_VAS2022[aantal_VAS],Tabel_VAS2022[Zaakcode],Tabel_prc_2022[[#This Row],[Zaakcode]],Tabel_VAS2022[Adviesofprocedure],"prc",Tabel_VAS2022[code_punten_forfait],15)</f>
        <v>92</v>
      </c>
      <c r="L100" s="92">
        <f>SUMIFS(Tabel_VAS2022[aantal_VAS],Tabel_VAS2022[Zaakcode],Tabel_prc_2022[[#This Row],[Zaakcode]],Tabel_VAS2022[Adviesofprocedure],"prc",Tabel_VAS2022[code_punten_forfait],16)</f>
        <v>1</v>
      </c>
      <c r="M100" s="35">
        <f>IFERROR(INDEX(Tabel_forfaits[forfait vanaf 2022],MATCH(Tabel_prc_2022[[#This Row],[Zaakcode]],Tabel_forfaits[Zaakcode],0)), "n.v.t.")</f>
        <v>8</v>
      </c>
      <c r="N100" s="35">
        <f>IFERROR(INDEX(Tabel_forfaits[forfait VdM II voor berekening],MATCH(Tabel_prc_2022[[#This Row],[Zaakcode]],Tabel_forfaits[Zaakcode],0)), "n.v.t.")</f>
        <v>8</v>
      </c>
      <c r="O100" s="36"/>
      <c r="P10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0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0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00" s="35">
        <f>IF(Tabel_prc_2022[[#This Row],[procedure - forfait VdM II]]="n.v.t.",0,  Tabel_prc_2022[[#This Row],[procedure - aantal 0 punten]] * (Tabel_prc_2022[[#This Row],[procedure - forfait VdM II]] - Tabel_prc_2022[[#This Row],[procedure - forfait VdM I]]))</f>
        <v>0</v>
      </c>
      <c r="T10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6367</v>
      </c>
      <c r="U10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00" s="109">
        <f>Tabel_prc_2022[[#This Row],[procedure - totaal extra punten toev. VdM II t.o.v. huidig]] * tarief_huidig</f>
        <v>0</v>
      </c>
    </row>
    <row r="101" spans="2:22" x14ac:dyDescent="0.3">
      <c r="B101" s="1" t="s">
        <v>96</v>
      </c>
      <c r="C101" s="34" t="s">
        <v>5</v>
      </c>
      <c r="D10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2414</v>
      </c>
      <c r="E10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18897.5</v>
      </c>
      <c r="F101" s="91">
        <f>SUMIFS(Tabel_VAS2022[aantal_VAS],Tabel_VAS2022[Zaakcode],Tabel_prc_2022[[#This Row],[Zaakcode]],Tabel_VAS2022[Adviesofprocedure],"prc",Tabel_VAS2022[code_punten_forfait],10)</f>
        <v>0</v>
      </c>
      <c r="G101" s="91">
        <f>SUMIFS(Tabel_VAS2022[aantal_VAS],Tabel_VAS2022[Zaakcode],Tabel_prc_2022[[#This Row],[Zaakcode]],Tabel_VAS2022[Adviesofprocedure],"prc",Tabel_VAS2022[code_punten_forfait],11)</f>
        <v>1776</v>
      </c>
      <c r="H101" s="92">
        <f>SUMIFS(Tabel_VAS2022[aantal_VAS],Tabel_VAS2022[Zaakcode],Tabel_prc_2022[[#This Row],[Zaakcode]],Tabel_VAS2022[Adviesofprocedure],"prc",Tabel_VAS2022[code_punten_forfait],13)</f>
        <v>1</v>
      </c>
      <c r="I101" s="92">
        <f>SUMIFS(Tabel_VAS2022[aantal_VAS],Tabel_VAS2022[Zaakcode],Tabel_prc_2022[[#This Row],[Zaakcode]],Tabel_VAS2022[Adviesofprocedure],"prc",Tabel_VAS2022[code_punten_forfait],14)</f>
        <v>0</v>
      </c>
      <c r="J101" s="92">
        <f>SUMIFS(Tabel_VAS2022[aantal_VAS],Tabel_VAS2022[Zaakcode],Tabel_prc_2022[[#This Row],[Zaakcode]],Tabel_VAS2022[Adviesofprocedure],"prc",Tabel_VAS2022[code_punten_forfait],12)</f>
        <v>568</v>
      </c>
      <c r="K101" s="92">
        <f>SUMIFS(Tabel_VAS2022[aantal_VAS],Tabel_VAS2022[Zaakcode],Tabel_prc_2022[[#This Row],[Zaakcode]],Tabel_VAS2022[Adviesofprocedure],"prc",Tabel_VAS2022[code_punten_forfait],15)</f>
        <v>69</v>
      </c>
      <c r="L101" s="92">
        <f>SUMIFS(Tabel_VAS2022[aantal_VAS],Tabel_VAS2022[Zaakcode],Tabel_prc_2022[[#This Row],[Zaakcode]],Tabel_VAS2022[Adviesofprocedure],"prc",Tabel_VAS2022[code_punten_forfait],16)</f>
        <v>0</v>
      </c>
      <c r="M101" s="35">
        <f>IFERROR(INDEX(Tabel_forfaits[forfait vanaf 2022],MATCH(Tabel_prc_2022[[#This Row],[Zaakcode]],Tabel_forfaits[Zaakcode],0)), "n.v.t.")</f>
        <v>8</v>
      </c>
      <c r="N101" s="35">
        <f>IFERROR(INDEX(Tabel_forfaits[forfait VdM II voor berekening],MATCH(Tabel_prc_2022[[#This Row],[Zaakcode]],Tabel_forfaits[Zaakcode],0)), "n.v.t.")</f>
        <v>10</v>
      </c>
      <c r="O101" s="36"/>
      <c r="P10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4688</v>
      </c>
      <c r="Q10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140</v>
      </c>
      <c r="R10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01" s="35">
        <f>IF(Tabel_prc_2022[[#This Row],[procedure - forfait VdM II]]="n.v.t.",0,  Tabel_prc_2022[[#This Row],[procedure - aantal 0 punten]] * (Tabel_prc_2022[[#This Row],[procedure - forfait VdM II]] - Tabel_prc_2022[[#This Row],[procedure - forfait VdM I]]))</f>
        <v>0</v>
      </c>
      <c r="T10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2414</v>
      </c>
      <c r="U10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4828</v>
      </c>
      <c r="V101" s="109">
        <f>Tabel_prc_2022[[#This Row],[procedure - totaal extra punten toev. VdM II t.o.v. huidig]] * tarief_huidig</f>
        <v>739289.91399999999</v>
      </c>
    </row>
    <row r="102" spans="2:22" x14ac:dyDescent="0.3">
      <c r="B102" s="1" t="s">
        <v>97</v>
      </c>
      <c r="C102" s="34" t="s">
        <v>5</v>
      </c>
      <c r="D10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317</v>
      </c>
      <c r="E10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2615</v>
      </c>
      <c r="F102" s="91">
        <f>SUMIFS(Tabel_VAS2022[aantal_VAS],Tabel_VAS2022[Zaakcode],Tabel_prc_2022[[#This Row],[Zaakcode]],Tabel_VAS2022[Adviesofprocedure],"prc",Tabel_VAS2022[code_punten_forfait],10)</f>
        <v>0</v>
      </c>
      <c r="G102" s="92">
        <f>SUMIFS(Tabel_VAS2022[aantal_VAS],Tabel_VAS2022[Zaakcode],Tabel_prc_2022[[#This Row],[Zaakcode]],Tabel_VAS2022[Adviesofprocedure],"prc",Tabel_VAS2022[code_punten_forfait],11)</f>
        <v>202</v>
      </c>
      <c r="H102" s="92">
        <f>SUMIFS(Tabel_VAS2022[aantal_VAS],Tabel_VAS2022[Zaakcode],Tabel_prc_2022[[#This Row],[Zaakcode]],Tabel_VAS2022[Adviesofprocedure],"prc",Tabel_VAS2022[code_punten_forfait],13)</f>
        <v>0</v>
      </c>
      <c r="I102" s="92">
        <f>SUMIFS(Tabel_VAS2022[aantal_VAS],Tabel_VAS2022[Zaakcode],Tabel_prc_2022[[#This Row],[Zaakcode]],Tabel_VAS2022[Adviesofprocedure],"prc",Tabel_VAS2022[code_punten_forfait],14)</f>
        <v>2</v>
      </c>
      <c r="J102" s="92">
        <f>SUMIFS(Tabel_VAS2022[aantal_VAS],Tabel_VAS2022[Zaakcode],Tabel_prc_2022[[#This Row],[Zaakcode]],Tabel_VAS2022[Adviesofprocedure],"prc",Tabel_VAS2022[code_punten_forfait],12)</f>
        <v>105</v>
      </c>
      <c r="K102" s="92">
        <f>SUMIFS(Tabel_VAS2022[aantal_VAS],Tabel_VAS2022[Zaakcode],Tabel_prc_2022[[#This Row],[Zaakcode]],Tabel_VAS2022[Adviesofprocedure],"prc",Tabel_VAS2022[code_punten_forfait],15)</f>
        <v>7</v>
      </c>
      <c r="L102" s="92">
        <f>SUMIFS(Tabel_VAS2022[aantal_VAS],Tabel_VAS2022[Zaakcode],Tabel_prc_2022[[#This Row],[Zaakcode]],Tabel_VAS2022[Adviesofprocedure],"prc",Tabel_VAS2022[code_punten_forfait],16)</f>
        <v>1</v>
      </c>
      <c r="M102" s="35">
        <f>IFERROR(INDEX(Tabel_forfaits[forfait vanaf 2022],MATCH(Tabel_prc_2022[[#This Row],[Zaakcode]],Tabel_forfaits[Zaakcode],0)), "n.v.t.")</f>
        <v>9</v>
      </c>
      <c r="N102" s="35">
        <f>IFERROR(INDEX(Tabel_forfaits[forfait VdM II voor berekening],MATCH(Tabel_prc_2022[[#This Row],[Zaakcode]],Tabel_forfaits[Zaakcode],0)), "n.v.t.")</f>
        <v>10</v>
      </c>
      <c r="O102" s="36"/>
      <c r="P10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307</v>
      </c>
      <c r="Q10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7</v>
      </c>
      <c r="R10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4.5</v>
      </c>
      <c r="S102" s="35">
        <f>IF(Tabel_prc_2022[[#This Row],[procedure - forfait VdM II]]="n.v.t.",0,  Tabel_prc_2022[[#This Row],[procedure - aantal 0 punten]] * (Tabel_prc_2022[[#This Row],[procedure - forfait VdM II]] - Tabel_prc_2022[[#This Row],[procedure - forfait VdM I]]))</f>
        <v>0</v>
      </c>
      <c r="T10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317</v>
      </c>
      <c r="U10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318.5</v>
      </c>
      <c r="V102" s="109">
        <f>Tabel_prc_2022[[#This Row],[procedure - totaal extra punten toev. VdM II t.o.v. huidig]] * tarief_huidig</f>
        <v>48770.471749999997</v>
      </c>
    </row>
    <row r="103" spans="2:22" x14ac:dyDescent="0.3">
      <c r="B103" s="1" t="s">
        <v>98</v>
      </c>
      <c r="C103" s="34" t="s">
        <v>5</v>
      </c>
      <c r="D10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0</v>
      </c>
      <c r="E10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0</v>
      </c>
      <c r="F103" s="91">
        <f>SUMIFS(Tabel_VAS2022[aantal_VAS],Tabel_VAS2022[Zaakcode],Tabel_prc_2022[[#This Row],[Zaakcode]],Tabel_VAS2022[Adviesofprocedure],"prc",Tabel_VAS2022[code_punten_forfait],10)</f>
        <v>0</v>
      </c>
      <c r="G103" s="92">
        <f>SUMIFS(Tabel_VAS2022[aantal_VAS],Tabel_VAS2022[Zaakcode],Tabel_prc_2022[[#This Row],[Zaakcode]],Tabel_VAS2022[Adviesofprocedure],"prc",Tabel_VAS2022[code_punten_forfait],11)</f>
        <v>0</v>
      </c>
      <c r="H103" s="92">
        <f>SUMIFS(Tabel_VAS2022[aantal_VAS],Tabel_VAS2022[Zaakcode],Tabel_prc_2022[[#This Row],[Zaakcode]],Tabel_VAS2022[Adviesofprocedure],"prc",Tabel_VAS2022[code_punten_forfait],13)</f>
        <v>0</v>
      </c>
      <c r="I103" s="92">
        <f>SUMIFS(Tabel_VAS2022[aantal_VAS],Tabel_VAS2022[Zaakcode],Tabel_prc_2022[[#This Row],[Zaakcode]],Tabel_VAS2022[Adviesofprocedure],"prc",Tabel_VAS2022[code_punten_forfait],14)</f>
        <v>0</v>
      </c>
      <c r="J103" s="92">
        <f>SUMIFS(Tabel_VAS2022[aantal_VAS],Tabel_VAS2022[Zaakcode],Tabel_prc_2022[[#This Row],[Zaakcode]],Tabel_VAS2022[Adviesofprocedure],"prc",Tabel_VAS2022[code_punten_forfait],12)</f>
        <v>0</v>
      </c>
      <c r="K103" s="92">
        <f>SUMIFS(Tabel_VAS2022[aantal_VAS],Tabel_VAS2022[Zaakcode],Tabel_prc_2022[[#This Row],[Zaakcode]],Tabel_VAS2022[Adviesofprocedure],"prc",Tabel_VAS2022[code_punten_forfait],15)</f>
        <v>0</v>
      </c>
      <c r="L103" s="92">
        <f>SUMIFS(Tabel_VAS2022[aantal_VAS],Tabel_VAS2022[Zaakcode],Tabel_prc_2022[[#This Row],[Zaakcode]],Tabel_VAS2022[Adviesofprocedure],"prc",Tabel_VAS2022[code_punten_forfait],16)</f>
        <v>0</v>
      </c>
      <c r="M103" s="35">
        <f>IFERROR(INDEX(Tabel_forfaits[forfait vanaf 2022],MATCH(Tabel_prc_2022[[#This Row],[Zaakcode]],Tabel_forfaits[Zaakcode],0)), "n.v.t.")</f>
        <v>8</v>
      </c>
      <c r="N103" s="35">
        <f>IFERROR(INDEX(Tabel_forfaits[forfait VdM II voor berekening],MATCH(Tabel_prc_2022[[#This Row],[Zaakcode]],Tabel_forfaits[Zaakcode],0)), "n.v.t.")</f>
        <v>6</v>
      </c>
      <c r="O103" s="36"/>
      <c r="P10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0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0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03" s="35">
        <f>IF(Tabel_prc_2022[[#This Row],[procedure - forfait VdM II]]="n.v.t.",0,  Tabel_prc_2022[[#This Row],[procedure - aantal 0 punten]] * (Tabel_prc_2022[[#This Row],[procedure - forfait VdM II]] - Tabel_prc_2022[[#This Row],[procedure - forfait VdM I]]))</f>
        <v>0</v>
      </c>
      <c r="T10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0</v>
      </c>
      <c r="U10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03" s="109">
        <f>Tabel_prc_2022[[#This Row],[procedure - totaal extra punten toev. VdM II t.o.v. huidig]] * tarief_huidig</f>
        <v>0</v>
      </c>
    </row>
    <row r="104" spans="2:22" x14ac:dyDescent="0.3">
      <c r="B104" s="1" t="s">
        <v>99</v>
      </c>
      <c r="C104" s="34" t="s">
        <v>5</v>
      </c>
      <c r="D10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55</v>
      </c>
      <c r="E10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414</v>
      </c>
      <c r="F104" s="91">
        <f>SUMIFS(Tabel_VAS2022[aantal_VAS],Tabel_VAS2022[Zaakcode],Tabel_prc_2022[[#This Row],[Zaakcode]],Tabel_VAS2022[Adviesofprocedure],"prc",Tabel_VAS2022[code_punten_forfait],10)</f>
        <v>0</v>
      </c>
      <c r="G104" s="92">
        <f>SUMIFS(Tabel_VAS2022[aantal_VAS],Tabel_VAS2022[Zaakcode],Tabel_prc_2022[[#This Row],[Zaakcode]],Tabel_VAS2022[Adviesofprocedure],"prc",Tabel_VAS2022[code_punten_forfait],11)</f>
        <v>43</v>
      </c>
      <c r="H104" s="92">
        <f>SUMIFS(Tabel_VAS2022[aantal_VAS],Tabel_VAS2022[Zaakcode],Tabel_prc_2022[[#This Row],[Zaakcode]],Tabel_VAS2022[Adviesofprocedure],"prc",Tabel_VAS2022[code_punten_forfait],13)</f>
        <v>0</v>
      </c>
      <c r="I104" s="92">
        <f>SUMIFS(Tabel_VAS2022[aantal_VAS],Tabel_VAS2022[Zaakcode],Tabel_prc_2022[[#This Row],[Zaakcode]],Tabel_VAS2022[Adviesofprocedure],"prc",Tabel_VAS2022[code_punten_forfait],14)</f>
        <v>1</v>
      </c>
      <c r="J104" s="92">
        <f>SUMIFS(Tabel_VAS2022[aantal_VAS],Tabel_VAS2022[Zaakcode],Tabel_prc_2022[[#This Row],[Zaakcode]],Tabel_VAS2022[Adviesofprocedure],"prc",Tabel_VAS2022[code_punten_forfait],12)</f>
        <v>11</v>
      </c>
      <c r="K104" s="92">
        <f>SUMIFS(Tabel_VAS2022[aantal_VAS],Tabel_VAS2022[Zaakcode],Tabel_prc_2022[[#This Row],[Zaakcode]],Tabel_VAS2022[Adviesofprocedure],"prc",Tabel_VAS2022[code_punten_forfait],15)</f>
        <v>0</v>
      </c>
      <c r="L104" s="92">
        <f>SUMIFS(Tabel_VAS2022[aantal_VAS],Tabel_VAS2022[Zaakcode],Tabel_prc_2022[[#This Row],[Zaakcode]],Tabel_VAS2022[Adviesofprocedure],"prc",Tabel_VAS2022[code_punten_forfait],16)</f>
        <v>0</v>
      </c>
      <c r="M104" s="35">
        <f>IFERROR(INDEX(Tabel_forfaits[forfait vanaf 2022],MATCH(Tabel_prc_2022[[#This Row],[Zaakcode]],Tabel_forfaits[Zaakcode],0)), "n.v.t.")</f>
        <v>9</v>
      </c>
      <c r="N104" s="35">
        <f>IFERROR(INDEX(Tabel_forfaits[forfait VdM II voor berekening],MATCH(Tabel_prc_2022[[#This Row],[Zaakcode]],Tabel_forfaits[Zaakcode],0)), "n.v.t.")</f>
        <v>11</v>
      </c>
      <c r="O104" s="36"/>
      <c r="P10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108</v>
      </c>
      <c r="Q10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0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104" s="35">
        <f>IF(Tabel_prc_2022[[#This Row],[procedure - forfait VdM II]]="n.v.t.",0,  Tabel_prc_2022[[#This Row],[procedure - aantal 0 punten]] * (Tabel_prc_2022[[#This Row],[procedure - forfait VdM II]] - Tabel_prc_2022[[#This Row],[procedure - forfait VdM I]]))</f>
        <v>0</v>
      </c>
      <c r="T10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55</v>
      </c>
      <c r="U10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111</v>
      </c>
      <c r="V104" s="109">
        <f>Tabel_prc_2022[[#This Row],[procedure - totaal extra punten toev. VdM II t.o.v. huidig]] * tarief_huidig</f>
        <v>16996.930499999999</v>
      </c>
    </row>
    <row r="105" spans="2:22" x14ac:dyDescent="0.3">
      <c r="B105" s="1" t="s">
        <v>100</v>
      </c>
      <c r="C105" s="34" t="s">
        <v>5</v>
      </c>
      <c r="D10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3807</v>
      </c>
      <c r="E10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33646</v>
      </c>
      <c r="F105" s="91">
        <f>SUMIFS(Tabel_VAS2022[aantal_VAS],Tabel_VAS2022[Zaakcode],Tabel_prc_2022[[#This Row],[Zaakcode]],Tabel_VAS2022[Adviesofprocedure],"prc",Tabel_VAS2022[code_punten_forfait],10)</f>
        <v>0</v>
      </c>
      <c r="G105" s="91">
        <f>SUMIFS(Tabel_VAS2022[aantal_VAS],Tabel_VAS2022[Zaakcode],Tabel_prc_2022[[#This Row],[Zaakcode]],Tabel_VAS2022[Adviesofprocedure],"prc",Tabel_VAS2022[code_punten_forfait],11)</f>
        <v>1798</v>
      </c>
      <c r="H105" s="92">
        <f>SUMIFS(Tabel_VAS2022[aantal_VAS],Tabel_VAS2022[Zaakcode],Tabel_prc_2022[[#This Row],[Zaakcode]],Tabel_VAS2022[Adviesofprocedure],"prc",Tabel_VAS2022[code_punten_forfait],13)</f>
        <v>9</v>
      </c>
      <c r="I105" s="92">
        <f>SUMIFS(Tabel_VAS2022[aantal_VAS],Tabel_VAS2022[Zaakcode],Tabel_prc_2022[[#This Row],[Zaakcode]],Tabel_VAS2022[Adviesofprocedure],"prc",Tabel_VAS2022[code_punten_forfait],14)</f>
        <v>5</v>
      </c>
      <c r="J105" s="91">
        <f>SUMIFS(Tabel_VAS2022[aantal_VAS],Tabel_VAS2022[Zaakcode],Tabel_prc_2022[[#This Row],[Zaakcode]],Tabel_VAS2022[Adviesofprocedure],"prc",Tabel_VAS2022[code_punten_forfait],12)</f>
        <v>1880</v>
      </c>
      <c r="K105" s="92">
        <f>SUMIFS(Tabel_VAS2022[aantal_VAS],Tabel_VAS2022[Zaakcode],Tabel_prc_2022[[#This Row],[Zaakcode]],Tabel_VAS2022[Adviesofprocedure],"prc",Tabel_VAS2022[code_punten_forfait],15)</f>
        <v>105</v>
      </c>
      <c r="L105" s="92">
        <f>SUMIFS(Tabel_VAS2022[aantal_VAS],Tabel_VAS2022[Zaakcode],Tabel_prc_2022[[#This Row],[Zaakcode]],Tabel_VAS2022[Adviesofprocedure],"prc",Tabel_VAS2022[code_punten_forfait],16)</f>
        <v>10</v>
      </c>
      <c r="M105" s="35">
        <f>IFERROR(INDEX(Tabel_forfaits[forfait vanaf 2022],MATCH(Tabel_prc_2022[[#This Row],[Zaakcode]],Tabel_forfaits[Zaakcode],0)), "n.v.t.")</f>
        <v>10</v>
      </c>
      <c r="N105" s="35">
        <f>IFERROR(INDEX(Tabel_forfaits[forfait VdM II voor berekening],MATCH(Tabel_prc_2022[[#This Row],[Zaakcode]],Tabel_forfaits[Zaakcode],0)), "n.v.t.")</f>
        <v>9</v>
      </c>
      <c r="O105" s="36"/>
      <c r="P10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-3678</v>
      </c>
      <c r="Q10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-114</v>
      </c>
      <c r="R10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-22.5</v>
      </c>
      <c r="S105" s="35">
        <f>IF(Tabel_prc_2022[[#This Row],[procedure - forfait VdM II]]="n.v.t.",0,  Tabel_prc_2022[[#This Row],[procedure - aantal 0 punten]] * (Tabel_prc_2022[[#This Row],[procedure - forfait VdM II]] - Tabel_prc_2022[[#This Row],[procedure - forfait VdM I]]))</f>
        <v>0</v>
      </c>
      <c r="T10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3807</v>
      </c>
      <c r="U10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-3814.5</v>
      </c>
      <c r="V105" s="109">
        <f>Tabel_prc_2022[[#This Row],[procedure - totaal extra punten toev. VdM II t.o.v. huidig]] * tarief_huidig</f>
        <v>-584097.21974999993</v>
      </c>
    </row>
    <row r="106" spans="2:22" x14ac:dyDescent="0.3">
      <c r="B106" s="1" t="s">
        <v>101</v>
      </c>
      <c r="C106" s="34" t="s">
        <v>5</v>
      </c>
      <c r="D10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1480</v>
      </c>
      <c r="E10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8211.5</v>
      </c>
      <c r="F106" s="91">
        <f>SUMIFS(Tabel_VAS2022[aantal_VAS],Tabel_VAS2022[Zaakcode],Tabel_prc_2022[[#This Row],[Zaakcode]],Tabel_VAS2022[Adviesofprocedure],"prc",Tabel_VAS2022[code_punten_forfait],10)</f>
        <v>0</v>
      </c>
      <c r="G106" s="92">
        <f>SUMIFS(Tabel_VAS2022[aantal_VAS],Tabel_VAS2022[Zaakcode],Tabel_prc_2022[[#This Row],[Zaakcode]],Tabel_VAS2022[Adviesofprocedure],"prc",Tabel_VAS2022[code_punten_forfait],11)</f>
        <v>673</v>
      </c>
      <c r="H106" s="92">
        <f>SUMIFS(Tabel_VAS2022[aantal_VAS],Tabel_VAS2022[Zaakcode],Tabel_prc_2022[[#This Row],[Zaakcode]],Tabel_VAS2022[Adviesofprocedure],"prc",Tabel_VAS2022[code_punten_forfait],13)</f>
        <v>2</v>
      </c>
      <c r="I106" s="92">
        <f>SUMIFS(Tabel_VAS2022[aantal_VAS],Tabel_VAS2022[Zaakcode],Tabel_prc_2022[[#This Row],[Zaakcode]],Tabel_VAS2022[Adviesofprocedure],"prc",Tabel_VAS2022[code_punten_forfait],14)</f>
        <v>3</v>
      </c>
      <c r="J106" s="92">
        <f>SUMIFS(Tabel_VAS2022[aantal_VAS],Tabel_VAS2022[Zaakcode],Tabel_prc_2022[[#This Row],[Zaakcode]],Tabel_VAS2022[Adviesofprocedure],"prc",Tabel_VAS2022[code_punten_forfait],12)</f>
        <v>801</v>
      </c>
      <c r="K106" s="92">
        <f>SUMIFS(Tabel_VAS2022[aantal_VAS],Tabel_VAS2022[Zaakcode],Tabel_prc_2022[[#This Row],[Zaakcode]],Tabel_VAS2022[Adviesofprocedure],"prc",Tabel_VAS2022[code_punten_forfait],15)</f>
        <v>0</v>
      </c>
      <c r="L106" s="92">
        <f>SUMIFS(Tabel_VAS2022[aantal_VAS],Tabel_VAS2022[Zaakcode],Tabel_prc_2022[[#This Row],[Zaakcode]],Tabel_VAS2022[Adviesofprocedure],"prc",Tabel_VAS2022[code_punten_forfait],16)</f>
        <v>1</v>
      </c>
      <c r="M106" s="35">
        <f>IFERROR(INDEX(Tabel_forfaits[forfait vanaf 2022],MATCH(Tabel_prc_2022[[#This Row],[Zaakcode]],Tabel_forfaits[Zaakcode],0)), "n.v.t.")</f>
        <v>6</v>
      </c>
      <c r="N106" s="35">
        <f>IFERROR(INDEX(Tabel_forfaits[forfait VdM II voor berekening],MATCH(Tabel_prc_2022[[#This Row],[Zaakcode]],Tabel_forfaits[Zaakcode],0)), "n.v.t.")</f>
        <v>7</v>
      </c>
      <c r="O106" s="36"/>
      <c r="P10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1474</v>
      </c>
      <c r="Q10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2</v>
      </c>
      <c r="R10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6</v>
      </c>
      <c r="S106" s="35">
        <f>IF(Tabel_prc_2022[[#This Row],[procedure - forfait VdM II]]="n.v.t.",0,  Tabel_prc_2022[[#This Row],[procedure - aantal 0 punten]] * (Tabel_prc_2022[[#This Row],[procedure - forfait VdM II]] - Tabel_prc_2022[[#This Row],[procedure - forfait VdM I]]))</f>
        <v>0</v>
      </c>
      <c r="T10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1480</v>
      </c>
      <c r="U10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1482</v>
      </c>
      <c r="V106" s="109">
        <f>Tabel_prc_2022[[#This Row],[procedure - totaal extra punten toev. VdM II t.o.v. huidig]] * tarief_huidig</f>
        <v>226931.99099999998</v>
      </c>
    </row>
    <row r="107" spans="2:22" x14ac:dyDescent="0.3">
      <c r="B107" s="1" t="s">
        <v>102</v>
      </c>
      <c r="C107" s="34" t="s">
        <v>5</v>
      </c>
      <c r="D10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448</v>
      </c>
      <c r="E10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2921.5</v>
      </c>
      <c r="F107" s="91">
        <f>SUMIFS(Tabel_VAS2022[aantal_VAS],Tabel_VAS2022[Zaakcode],Tabel_prc_2022[[#This Row],[Zaakcode]],Tabel_VAS2022[Adviesofprocedure],"prc",Tabel_VAS2022[code_punten_forfait],10)</f>
        <v>0</v>
      </c>
      <c r="G107" s="92">
        <f>SUMIFS(Tabel_VAS2022[aantal_VAS],Tabel_VAS2022[Zaakcode],Tabel_prc_2022[[#This Row],[Zaakcode]],Tabel_VAS2022[Adviesofprocedure],"prc",Tabel_VAS2022[code_punten_forfait],11)</f>
        <v>91</v>
      </c>
      <c r="H107" s="92">
        <f>SUMIFS(Tabel_VAS2022[aantal_VAS],Tabel_VAS2022[Zaakcode],Tabel_prc_2022[[#This Row],[Zaakcode]],Tabel_VAS2022[Adviesofprocedure],"prc",Tabel_VAS2022[code_punten_forfait],13)</f>
        <v>5</v>
      </c>
      <c r="I107" s="92">
        <f>SUMIFS(Tabel_VAS2022[aantal_VAS],Tabel_VAS2022[Zaakcode],Tabel_prc_2022[[#This Row],[Zaakcode]],Tabel_VAS2022[Adviesofprocedure],"prc",Tabel_VAS2022[code_punten_forfait],14)</f>
        <v>116</v>
      </c>
      <c r="J107" s="92">
        <f>SUMIFS(Tabel_VAS2022[aantal_VAS],Tabel_VAS2022[Zaakcode],Tabel_prc_2022[[#This Row],[Zaakcode]],Tabel_VAS2022[Adviesofprocedure],"prc",Tabel_VAS2022[code_punten_forfait],12)</f>
        <v>210</v>
      </c>
      <c r="K107" s="92">
        <f>SUMIFS(Tabel_VAS2022[aantal_VAS],Tabel_VAS2022[Zaakcode],Tabel_prc_2022[[#This Row],[Zaakcode]],Tabel_VAS2022[Adviesofprocedure],"prc",Tabel_VAS2022[code_punten_forfait],15)</f>
        <v>2</v>
      </c>
      <c r="L107" s="92">
        <f>SUMIFS(Tabel_VAS2022[aantal_VAS],Tabel_VAS2022[Zaakcode],Tabel_prc_2022[[#This Row],[Zaakcode]],Tabel_VAS2022[Adviesofprocedure],"prc",Tabel_VAS2022[code_punten_forfait],16)</f>
        <v>24</v>
      </c>
      <c r="M107" s="35">
        <f>IFERROR(INDEX(Tabel_forfaits[forfait vanaf 2022],MATCH(Tabel_prc_2022[[#This Row],[Zaakcode]],Tabel_forfaits[Zaakcode],0)), "n.v.t.")</f>
        <v>7</v>
      </c>
      <c r="N107" s="35">
        <f>IFERROR(INDEX(Tabel_forfaits[forfait VdM II voor berekening],MATCH(Tabel_prc_2022[[#This Row],[Zaakcode]],Tabel_forfaits[Zaakcode],0)), "n.v.t.")</f>
        <v>8</v>
      </c>
      <c r="O107" s="36"/>
      <c r="P10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301</v>
      </c>
      <c r="Q10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7</v>
      </c>
      <c r="R10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210</v>
      </c>
      <c r="S107" s="35">
        <f>IF(Tabel_prc_2022[[#This Row],[procedure - forfait VdM II]]="n.v.t.",0,  Tabel_prc_2022[[#This Row],[procedure - aantal 0 punten]] * (Tabel_prc_2022[[#This Row],[procedure - forfait VdM II]] - Tabel_prc_2022[[#This Row],[procedure - forfait VdM I]]))</f>
        <v>0</v>
      </c>
      <c r="T10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448</v>
      </c>
      <c r="U10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518</v>
      </c>
      <c r="V107" s="109">
        <f>Tabel_prc_2022[[#This Row],[procedure - totaal extra punten toev. VdM II t.o.v. huidig]] * tarief_huidig</f>
        <v>79319.008999999991</v>
      </c>
    </row>
    <row r="108" spans="2:22" x14ac:dyDescent="0.3">
      <c r="B108" s="1" t="s">
        <v>103</v>
      </c>
      <c r="C108" s="34" t="s">
        <v>5</v>
      </c>
      <c r="D10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9643</v>
      </c>
      <c r="E10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77296</v>
      </c>
      <c r="F108" s="91">
        <f>SUMIFS(Tabel_VAS2022[aantal_VAS],Tabel_VAS2022[Zaakcode],Tabel_prc_2022[[#This Row],[Zaakcode]],Tabel_VAS2022[Adviesofprocedure],"prc",Tabel_VAS2022[code_punten_forfait],10)</f>
        <v>0</v>
      </c>
      <c r="G108" s="91">
        <f>SUMIFS(Tabel_VAS2022[aantal_VAS],Tabel_VAS2022[Zaakcode],Tabel_prc_2022[[#This Row],[Zaakcode]],Tabel_VAS2022[Adviesofprocedure],"prc",Tabel_VAS2022[code_punten_forfait],11)</f>
        <v>2237</v>
      </c>
      <c r="H108" s="92">
        <f>SUMIFS(Tabel_VAS2022[aantal_VAS],Tabel_VAS2022[Zaakcode],Tabel_prc_2022[[#This Row],[Zaakcode]],Tabel_VAS2022[Adviesofprocedure],"prc",Tabel_VAS2022[code_punten_forfait],13)</f>
        <v>2</v>
      </c>
      <c r="I108" s="92">
        <f>SUMIFS(Tabel_VAS2022[aantal_VAS],Tabel_VAS2022[Zaakcode],Tabel_prc_2022[[#This Row],[Zaakcode]],Tabel_VAS2022[Adviesofprocedure],"prc",Tabel_VAS2022[code_punten_forfait],14)</f>
        <v>31</v>
      </c>
      <c r="J108" s="91">
        <f>SUMIFS(Tabel_VAS2022[aantal_VAS],Tabel_VAS2022[Zaakcode],Tabel_prc_2022[[#This Row],[Zaakcode]],Tabel_VAS2022[Adviesofprocedure],"prc",Tabel_VAS2022[code_punten_forfait],12)</f>
        <v>7342</v>
      </c>
      <c r="K108" s="92">
        <f>SUMIFS(Tabel_VAS2022[aantal_VAS],Tabel_VAS2022[Zaakcode],Tabel_prc_2022[[#This Row],[Zaakcode]],Tabel_VAS2022[Adviesofprocedure],"prc",Tabel_VAS2022[code_punten_forfait],15)</f>
        <v>13</v>
      </c>
      <c r="L108" s="92">
        <f>SUMIFS(Tabel_VAS2022[aantal_VAS],Tabel_VAS2022[Zaakcode],Tabel_prc_2022[[#This Row],[Zaakcode]],Tabel_VAS2022[Adviesofprocedure],"prc",Tabel_VAS2022[code_punten_forfait],16)</f>
        <v>18</v>
      </c>
      <c r="M108" s="35">
        <f>IFERROR(INDEX(Tabel_forfaits[forfait vanaf 2022],MATCH(Tabel_prc_2022[[#This Row],[Zaakcode]],Tabel_forfaits[Zaakcode],0)), "n.v.t.")</f>
        <v>8</v>
      </c>
      <c r="N108" s="35">
        <f>IFERROR(INDEX(Tabel_forfaits[forfait VdM II voor berekening],MATCH(Tabel_prc_2022[[#This Row],[Zaakcode]],Tabel_forfaits[Zaakcode],0)), "n.v.t.")</f>
        <v>9</v>
      </c>
      <c r="O108" s="36"/>
      <c r="P10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9579</v>
      </c>
      <c r="Q10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15</v>
      </c>
      <c r="R10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73.5</v>
      </c>
      <c r="S108" s="35">
        <f>IF(Tabel_prc_2022[[#This Row],[procedure - forfait VdM II]]="n.v.t.",0,  Tabel_prc_2022[[#This Row],[procedure - aantal 0 punten]] * (Tabel_prc_2022[[#This Row],[procedure - forfait VdM II]] - Tabel_prc_2022[[#This Row],[procedure - forfait VdM I]]))</f>
        <v>0</v>
      </c>
      <c r="T10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9643</v>
      </c>
      <c r="U10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9667.5</v>
      </c>
      <c r="V108" s="109">
        <f>Tabel_prc_2022[[#This Row],[procedure - totaal extra punten toev. VdM II t.o.v. huidig]] * tarief_huidig</f>
        <v>1480340.77125</v>
      </c>
    </row>
    <row r="109" spans="2:22" x14ac:dyDescent="0.3">
      <c r="B109" s="1" t="s">
        <v>104</v>
      </c>
      <c r="C109" s="34" t="s">
        <v>5</v>
      </c>
      <c r="D10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1694</v>
      </c>
      <c r="E10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20196.599999999999</v>
      </c>
      <c r="F109" s="91">
        <f>SUMIFS(Tabel_VAS2022[aantal_VAS],Tabel_VAS2022[Zaakcode],Tabel_prc_2022[[#This Row],[Zaakcode]],Tabel_VAS2022[Adviesofprocedure],"prc",Tabel_VAS2022[code_punten_forfait],10)</f>
        <v>0</v>
      </c>
      <c r="G109" s="92">
        <f>SUMIFS(Tabel_VAS2022[aantal_VAS],Tabel_VAS2022[Zaakcode],Tabel_prc_2022[[#This Row],[Zaakcode]],Tabel_VAS2022[Adviesofprocedure],"prc",Tabel_VAS2022[code_punten_forfait],11)</f>
        <v>987</v>
      </c>
      <c r="H109" s="92">
        <f>SUMIFS(Tabel_VAS2022[aantal_VAS],Tabel_VAS2022[Zaakcode],Tabel_prc_2022[[#This Row],[Zaakcode]],Tabel_VAS2022[Adviesofprocedure],"prc",Tabel_VAS2022[code_punten_forfait],13)</f>
        <v>2</v>
      </c>
      <c r="I109" s="92">
        <f>SUMIFS(Tabel_VAS2022[aantal_VAS],Tabel_VAS2022[Zaakcode],Tabel_prc_2022[[#This Row],[Zaakcode]],Tabel_VAS2022[Adviesofprocedure],"prc",Tabel_VAS2022[code_punten_forfait],14)</f>
        <v>12</v>
      </c>
      <c r="J109" s="92">
        <f>SUMIFS(Tabel_VAS2022[aantal_VAS],Tabel_VAS2022[Zaakcode],Tabel_prc_2022[[#This Row],[Zaakcode]],Tabel_VAS2022[Adviesofprocedure],"prc",Tabel_VAS2022[code_punten_forfait],12)</f>
        <v>88</v>
      </c>
      <c r="K109" s="92">
        <f>SUMIFS(Tabel_VAS2022[aantal_VAS],Tabel_VAS2022[Zaakcode],Tabel_prc_2022[[#This Row],[Zaakcode]],Tabel_VAS2022[Adviesofprocedure],"prc",Tabel_VAS2022[code_punten_forfait],15)</f>
        <v>3</v>
      </c>
      <c r="L109" s="92">
        <f>SUMIFS(Tabel_VAS2022[aantal_VAS],Tabel_VAS2022[Zaakcode],Tabel_prc_2022[[#This Row],[Zaakcode]],Tabel_VAS2022[Adviesofprocedure],"prc",Tabel_VAS2022[code_punten_forfait],16)</f>
        <v>602</v>
      </c>
      <c r="M109" s="35">
        <f>IFERROR(INDEX(Tabel_forfaits[forfait vanaf 2022],MATCH(Tabel_prc_2022[[#This Row],[Zaakcode]],Tabel_forfaits[Zaakcode],0)), "n.v.t.")</f>
        <v>12</v>
      </c>
      <c r="N109" s="35">
        <f>IFERROR(INDEX(Tabel_forfaits[forfait VdM II voor berekening],MATCH(Tabel_prc_2022[[#This Row],[Zaakcode]],Tabel_forfaits[Zaakcode],0)), "n.v.t.")</f>
        <v>11</v>
      </c>
      <c r="O109" s="36"/>
      <c r="P10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-1075</v>
      </c>
      <c r="Q10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v>
      </c>
      <c r="R10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-921</v>
      </c>
      <c r="S109" s="35">
        <f>IF(Tabel_prc_2022[[#This Row],[procedure - forfait VdM II]]="n.v.t.",0,  Tabel_prc_2022[[#This Row],[procedure - aantal 0 punten]] * (Tabel_prc_2022[[#This Row],[procedure - forfait VdM II]] - Tabel_prc_2022[[#This Row],[procedure - forfait VdM I]]))</f>
        <v>0</v>
      </c>
      <c r="T10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1694</v>
      </c>
      <c r="U10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-2001</v>
      </c>
      <c r="V109" s="109">
        <f>Tabel_prc_2022[[#This Row],[procedure - totaal extra punten toev. VdM II t.o.v. huidig]] * tarief_huidig</f>
        <v>-306404.12549999997</v>
      </c>
    </row>
    <row r="110" spans="2:22" x14ac:dyDescent="0.3">
      <c r="B110" s="1" t="s">
        <v>105</v>
      </c>
      <c r="C110" s="34" t="s">
        <v>5</v>
      </c>
      <c r="D11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2707</v>
      </c>
      <c r="E11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14578</v>
      </c>
      <c r="F110" s="91">
        <f>SUMIFS(Tabel_VAS2022[aantal_VAS],Tabel_VAS2022[Zaakcode],Tabel_prc_2022[[#This Row],[Zaakcode]],Tabel_VAS2022[Adviesofprocedure],"prc",Tabel_VAS2022[code_punten_forfait],10)</f>
        <v>0</v>
      </c>
      <c r="G110" s="92">
        <f>SUMIFS(Tabel_VAS2022[aantal_VAS],Tabel_VAS2022[Zaakcode],Tabel_prc_2022[[#This Row],[Zaakcode]],Tabel_VAS2022[Adviesofprocedure],"prc",Tabel_VAS2022[code_punten_forfait],11)</f>
        <v>850</v>
      </c>
      <c r="H110" s="92">
        <f>SUMIFS(Tabel_VAS2022[aantal_VAS],Tabel_VAS2022[Zaakcode],Tabel_prc_2022[[#This Row],[Zaakcode]],Tabel_VAS2022[Adviesofprocedure],"prc",Tabel_VAS2022[code_punten_forfait],13)</f>
        <v>0</v>
      </c>
      <c r="I110" s="92">
        <f>SUMIFS(Tabel_VAS2022[aantal_VAS],Tabel_VAS2022[Zaakcode],Tabel_prc_2022[[#This Row],[Zaakcode]],Tabel_VAS2022[Adviesofprocedure],"prc",Tabel_VAS2022[code_punten_forfait],14)</f>
        <v>5</v>
      </c>
      <c r="J110" s="91">
        <f>SUMIFS(Tabel_VAS2022[aantal_VAS],Tabel_VAS2022[Zaakcode],Tabel_prc_2022[[#This Row],[Zaakcode]],Tabel_VAS2022[Adviesofprocedure],"prc",Tabel_VAS2022[code_punten_forfait],12)</f>
        <v>1843</v>
      </c>
      <c r="K110" s="92">
        <f>SUMIFS(Tabel_VAS2022[aantal_VAS],Tabel_VAS2022[Zaakcode],Tabel_prc_2022[[#This Row],[Zaakcode]],Tabel_VAS2022[Adviesofprocedure],"prc",Tabel_VAS2022[code_punten_forfait],15)</f>
        <v>0</v>
      </c>
      <c r="L110" s="92">
        <f>SUMIFS(Tabel_VAS2022[aantal_VAS],Tabel_VAS2022[Zaakcode],Tabel_prc_2022[[#This Row],[Zaakcode]],Tabel_VAS2022[Adviesofprocedure],"prc",Tabel_VAS2022[code_punten_forfait],16)</f>
        <v>9</v>
      </c>
      <c r="M110" s="35">
        <f>IFERROR(INDEX(Tabel_forfaits[forfait vanaf 2022],MATCH(Tabel_prc_2022[[#This Row],[Zaakcode]],Tabel_forfaits[Zaakcode],0)), "n.v.t.")</f>
        <v>6</v>
      </c>
      <c r="N110" s="35">
        <f>IFERROR(INDEX(Tabel_forfaits[forfait VdM II voor berekening],MATCH(Tabel_prc_2022[[#This Row],[Zaakcode]],Tabel_forfaits[Zaakcode],0)), "n.v.t.")</f>
        <v>6</v>
      </c>
      <c r="O110" s="36"/>
      <c r="P11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0" s="35">
        <f>IF(Tabel_prc_2022[[#This Row],[procedure - forfait VdM II]]="n.v.t.",0,  Tabel_prc_2022[[#This Row],[procedure - aantal 0 punten]] * (Tabel_prc_2022[[#This Row],[procedure - forfait VdM II]] - Tabel_prc_2022[[#This Row],[procedure - forfait VdM I]]))</f>
        <v>0</v>
      </c>
      <c r="T11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2707</v>
      </c>
      <c r="U11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0" s="109">
        <f>Tabel_prc_2022[[#This Row],[procedure - totaal extra punten toev. VdM II t.o.v. huidig]] * tarief_huidig</f>
        <v>0</v>
      </c>
    </row>
    <row r="111" spans="2:22" x14ac:dyDescent="0.3">
      <c r="B111" s="1" t="s">
        <v>106</v>
      </c>
      <c r="C111" s="34" t="s">
        <v>5</v>
      </c>
      <c r="D11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v>
      </c>
      <c r="E11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10</v>
      </c>
      <c r="F111" s="91">
        <f>SUMIFS(Tabel_VAS2022[aantal_VAS],Tabel_VAS2022[Zaakcode],Tabel_prc_2022[[#This Row],[Zaakcode]],Tabel_VAS2022[Adviesofprocedure],"prc",Tabel_VAS2022[code_punten_forfait],10)</f>
        <v>0</v>
      </c>
      <c r="G111" s="92">
        <f>SUMIFS(Tabel_VAS2022[aantal_VAS],Tabel_VAS2022[Zaakcode],Tabel_prc_2022[[#This Row],[Zaakcode]],Tabel_VAS2022[Adviesofprocedure],"prc",Tabel_VAS2022[code_punten_forfait],11)</f>
        <v>1</v>
      </c>
      <c r="H111" s="92">
        <f>SUMIFS(Tabel_VAS2022[aantal_VAS],Tabel_VAS2022[Zaakcode],Tabel_prc_2022[[#This Row],[Zaakcode]],Tabel_VAS2022[Adviesofprocedure],"prc",Tabel_VAS2022[code_punten_forfait],13)</f>
        <v>0</v>
      </c>
      <c r="I111" s="92">
        <f>SUMIFS(Tabel_VAS2022[aantal_VAS],Tabel_VAS2022[Zaakcode],Tabel_prc_2022[[#This Row],[Zaakcode]],Tabel_VAS2022[Adviesofprocedure],"prc",Tabel_VAS2022[code_punten_forfait],14)</f>
        <v>0</v>
      </c>
      <c r="J111" s="92">
        <f>SUMIFS(Tabel_VAS2022[aantal_VAS],Tabel_VAS2022[Zaakcode],Tabel_prc_2022[[#This Row],[Zaakcode]],Tabel_VAS2022[Adviesofprocedure],"prc",Tabel_VAS2022[code_punten_forfait],12)</f>
        <v>4</v>
      </c>
      <c r="K111" s="92">
        <f>SUMIFS(Tabel_VAS2022[aantal_VAS],Tabel_VAS2022[Zaakcode],Tabel_prc_2022[[#This Row],[Zaakcode]],Tabel_VAS2022[Adviesofprocedure],"prc",Tabel_VAS2022[code_punten_forfait],15)</f>
        <v>0</v>
      </c>
      <c r="L111" s="92">
        <f>SUMIFS(Tabel_VAS2022[aantal_VAS],Tabel_VAS2022[Zaakcode],Tabel_prc_2022[[#This Row],[Zaakcode]],Tabel_VAS2022[Adviesofprocedure],"prc",Tabel_VAS2022[code_punten_forfait],16)</f>
        <v>0</v>
      </c>
      <c r="M111" s="35">
        <f>IFERROR(INDEX(Tabel_forfaits[forfait vanaf 2022],MATCH(Tabel_prc_2022[[#This Row],[Zaakcode]],Tabel_forfaits[Zaakcode],0)), "n.v.t.")</f>
        <v>2</v>
      </c>
      <c r="N111" s="35">
        <f>IFERROR(INDEX(Tabel_forfaits[forfait VdM II voor berekening],MATCH(Tabel_prc_2022[[#This Row],[Zaakcode]],Tabel_forfaits[Zaakcode],0)), "n.v.t.")</f>
        <v>2</v>
      </c>
      <c r="O111" s="36"/>
      <c r="P11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1" s="35">
        <f>IF(Tabel_prc_2022[[#This Row],[procedure - forfait VdM II]]="n.v.t.",0,  Tabel_prc_2022[[#This Row],[procedure - aantal 0 punten]] * (Tabel_prc_2022[[#This Row],[procedure - forfait VdM II]] - Tabel_prc_2022[[#This Row],[procedure - forfait VdM I]]))</f>
        <v>0</v>
      </c>
      <c r="T11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v>
      </c>
      <c r="U11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1" s="109">
        <f>Tabel_prc_2022[[#This Row],[procedure - totaal extra punten toev. VdM II t.o.v. huidig]] * tarief_huidig</f>
        <v>0</v>
      </c>
    </row>
    <row r="112" spans="2:22" x14ac:dyDescent="0.3">
      <c r="B112" s="1" t="s">
        <v>107</v>
      </c>
      <c r="C112" s="34" t="s">
        <v>5</v>
      </c>
      <c r="D11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v>
      </c>
      <c r="E11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12</v>
      </c>
      <c r="F112" s="91">
        <f>SUMIFS(Tabel_VAS2022[aantal_VAS],Tabel_VAS2022[Zaakcode],Tabel_prc_2022[[#This Row],[Zaakcode]],Tabel_VAS2022[Adviesofprocedure],"prc",Tabel_VAS2022[code_punten_forfait],10)</f>
        <v>0</v>
      </c>
      <c r="G112" s="92">
        <f>SUMIFS(Tabel_VAS2022[aantal_VAS],Tabel_VAS2022[Zaakcode],Tabel_prc_2022[[#This Row],[Zaakcode]],Tabel_VAS2022[Adviesofprocedure],"prc",Tabel_VAS2022[code_punten_forfait],11)</f>
        <v>0</v>
      </c>
      <c r="H112" s="92">
        <f>SUMIFS(Tabel_VAS2022[aantal_VAS],Tabel_VAS2022[Zaakcode],Tabel_prc_2022[[#This Row],[Zaakcode]],Tabel_VAS2022[Adviesofprocedure],"prc",Tabel_VAS2022[code_punten_forfait],13)</f>
        <v>0</v>
      </c>
      <c r="I112" s="92">
        <f>SUMIFS(Tabel_VAS2022[aantal_VAS],Tabel_VAS2022[Zaakcode],Tabel_prc_2022[[#This Row],[Zaakcode]],Tabel_VAS2022[Adviesofprocedure],"prc",Tabel_VAS2022[code_punten_forfait],14)</f>
        <v>0</v>
      </c>
      <c r="J112" s="92">
        <f>SUMIFS(Tabel_VAS2022[aantal_VAS],Tabel_VAS2022[Zaakcode],Tabel_prc_2022[[#This Row],[Zaakcode]],Tabel_VAS2022[Adviesofprocedure],"prc",Tabel_VAS2022[code_punten_forfait],12)</f>
        <v>0</v>
      </c>
      <c r="K112" s="92">
        <f>SUMIFS(Tabel_VAS2022[aantal_VAS],Tabel_VAS2022[Zaakcode],Tabel_prc_2022[[#This Row],[Zaakcode]],Tabel_VAS2022[Adviesofprocedure],"prc",Tabel_VAS2022[code_punten_forfait],15)</f>
        <v>0</v>
      </c>
      <c r="L112" s="92">
        <f>SUMIFS(Tabel_VAS2022[aantal_VAS],Tabel_VAS2022[Zaakcode],Tabel_prc_2022[[#This Row],[Zaakcode]],Tabel_VAS2022[Adviesofprocedure],"prc",Tabel_VAS2022[code_punten_forfait],16)</f>
        <v>1</v>
      </c>
      <c r="M112" s="35">
        <f>IFERROR(INDEX(Tabel_forfaits[forfait vanaf 2022],MATCH(Tabel_prc_2022[[#This Row],[Zaakcode]],Tabel_forfaits[Zaakcode],0)), "n.v.t.")</f>
        <v>11</v>
      </c>
      <c r="N112" s="35">
        <f>IFERROR(INDEX(Tabel_forfaits[forfait VdM II voor berekening],MATCH(Tabel_prc_2022[[#This Row],[Zaakcode]],Tabel_forfaits[Zaakcode],0)), "n.v.t.")</f>
        <v>11</v>
      </c>
      <c r="O112" s="36"/>
      <c r="P11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2" s="35">
        <f>IF(Tabel_prc_2022[[#This Row],[procedure - forfait VdM II]]="n.v.t.",0,  Tabel_prc_2022[[#This Row],[procedure - aantal 0 punten]] * (Tabel_prc_2022[[#This Row],[procedure - forfait VdM II]] - Tabel_prc_2022[[#This Row],[procedure - forfait VdM I]]))</f>
        <v>0</v>
      </c>
      <c r="T11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v>
      </c>
      <c r="U11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2" s="109">
        <f>Tabel_prc_2022[[#This Row],[procedure - totaal extra punten toev. VdM II t.o.v. huidig]] * tarief_huidig</f>
        <v>0</v>
      </c>
    </row>
    <row r="113" spans="2:22" x14ac:dyDescent="0.3">
      <c r="B113" s="1" t="s">
        <v>108</v>
      </c>
      <c r="C113" s="34" t="s">
        <v>5</v>
      </c>
      <c r="D11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252</v>
      </c>
      <c r="E11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2016</v>
      </c>
      <c r="F113" s="91">
        <f>SUMIFS(Tabel_VAS2022[aantal_VAS],Tabel_VAS2022[Zaakcode],Tabel_prc_2022[[#This Row],[Zaakcode]],Tabel_VAS2022[Adviesofprocedure],"prc",Tabel_VAS2022[code_punten_forfait],10)</f>
        <v>0</v>
      </c>
      <c r="G113" s="92">
        <f>SUMIFS(Tabel_VAS2022[aantal_VAS],Tabel_VAS2022[Zaakcode],Tabel_prc_2022[[#This Row],[Zaakcode]],Tabel_VAS2022[Adviesofprocedure],"prc",Tabel_VAS2022[code_punten_forfait],11)</f>
        <v>130</v>
      </c>
      <c r="H113" s="92">
        <f>SUMIFS(Tabel_VAS2022[aantal_VAS],Tabel_VAS2022[Zaakcode],Tabel_prc_2022[[#This Row],[Zaakcode]],Tabel_VAS2022[Adviesofprocedure],"prc",Tabel_VAS2022[code_punten_forfait],13)</f>
        <v>1</v>
      </c>
      <c r="I113" s="92">
        <f>SUMIFS(Tabel_VAS2022[aantal_VAS],Tabel_VAS2022[Zaakcode],Tabel_prc_2022[[#This Row],[Zaakcode]],Tabel_VAS2022[Adviesofprocedure],"prc",Tabel_VAS2022[code_punten_forfait],14)</f>
        <v>1</v>
      </c>
      <c r="J113" s="92">
        <f>SUMIFS(Tabel_VAS2022[aantal_VAS],Tabel_VAS2022[Zaakcode],Tabel_prc_2022[[#This Row],[Zaakcode]],Tabel_VAS2022[Adviesofprocedure],"prc",Tabel_VAS2022[code_punten_forfait],12)</f>
        <v>2</v>
      </c>
      <c r="K113" s="92">
        <f>SUMIFS(Tabel_VAS2022[aantal_VAS],Tabel_VAS2022[Zaakcode],Tabel_prc_2022[[#This Row],[Zaakcode]],Tabel_VAS2022[Adviesofprocedure],"prc",Tabel_VAS2022[code_punten_forfait],15)</f>
        <v>0</v>
      </c>
      <c r="L113" s="92">
        <f>SUMIFS(Tabel_VAS2022[aantal_VAS],Tabel_VAS2022[Zaakcode],Tabel_prc_2022[[#This Row],[Zaakcode]],Tabel_VAS2022[Adviesofprocedure],"prc",Tabel_VAS2022[code_punten_forfait],16)</f>
        <v>118</v>
      </c>
      <c r="M113" s="35">
        <f>IFERROR(INDEX(Tabel_forfaits[forfait vanaf 2022],MATCH(Tabel_prc_2022[[#This Row],[Zaakcode]],Tabel_forfaits[Zaakcode],0)), "n.v.t.")</f>
        <v>10</v>
      </c>
      <c r="N113" s="35">
        <f>IFERROR(INDEX(Tabel_forfaits[forfait VdM II voor berekening],MATCH(Tabel_prc_2022[[#This Row],[Zaakcode]],Tabel_forfaits[Zaakcode],0)), "n.v.t.")</f>
        <v>10</v>
      </c>
      <c r="O113" s="36"/>
      <c r="P11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3" s="35">
        <f>IF(Tabel_prc_2022[[#This Row],[procedure - forfait VdM II]]="n.v.t.",0,  Tabel_prc_2022[[#This Row],[procedure - aantal 0 punten]] * (Tabel_prc_2022[[#This Row],[procedure - forfait VdM II]] - Tabel_prc_2022[[#This Row],[procedure - forfait VdM I]]))</f>
        <v>0</v>
      </c>
      <c r="T11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252</v>
      </c>
      <c r="U11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3" s="109">
        <f>Tabel_prc_2022[[#This Row],[procedure - totaal extra punten toev. VdM II t.o.v. huidig]] * tarief_huidig</f>
        <v>0</v>
      </c>
    </row>
    <row r="114" spans="2:22" x14ac:dyDescent="0.3">
      <c r="B114" s="1" t="s">
        <v>109</v>
      </c>
      <c r="C114" s="34" t="s">
        <v>5</v>
      </c>
      <c r="D11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107</v>
      </c>
      <c r="E11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597</v>
      </c>
      <c r="F114" s="91">
        <f>SUMIFS(Tabel_VAS2022[aantal_VAS],Tabel_VAS2022[Zaakcode],Tabel_prc_2022[[#This Row],[Zaakcode]],Tabel_VAS2022[Adviesofprocedure],"prc",Tabel_VAS2022[code_punten_forfait],10)</f>
        <v>0</v>
      </c>
      <c r="G114" s="92">
        <f>SUMIFS(Tabel_VAS2022[aantal_VAS],Tabel_VAS2022[Zaakcode],Tabel_prc_2022[[#This Row],[Zaakcode]],Tabel_VAS2022[Adviesofprocedure],"prc",Tabel_VAS2022[code_punten_forfait],11)</f>
        <v>45</v>
      </c>
      <c r="H114" s="92">
        <f>SUMIFS(Tabel_VAS2022[aantal_VAS],Tabel_VAS2022[Zaakcode],Tabel_prc_2022[[#This Row],[Zaakcode]],Tabel_VAS2022[Adviesofprocedure],"prc",Tabel_VAS2022[code_punten_forfait],13)</f>
        <v>0</v>
      </c>
      <c r="I114" s="92">
        <f>SUMIFS(Tabel_VAS2022[aantal_VAS],Tabel_VAS2022[Zaakcode],Tabel_prc_2022[[#This Row],[Zaakcode]],Tabel_VAS2022[Adviesofprocedure],"prc",Tabel_VAS2022[code_punten_forfait],14)</f>
        <v>0</v>
      </c>
      <c r="J114" s="92">
        <f>SUMIFS(Tabel_VAS2022[aantal_VAS],Tabel_VAS2022[Zaakcode],Tabel_prc_2022[[#This Row],[Zaakcode]],Tabel_VAS2022[Adviesofprocedure],"prc",Tabel_VAS2022[code_punten_forfait],12)</f>
        <v>62</v>
      </c>
      <c r="K114" s="92">
        <f>SUMIFS(Tabel_VAS2022[aantal_VAS],Tabel_VAS2022[Zaakcode],Tabel_prc_2022[[#This Row],[Zaakcode]],Tabel_VAS2022[Adviesofprocedure],"prc",Tabel_VAS2022[code_punten_forfait],15)</f>
        <v>0</v>
      </c>
      <c r="L114" s="92">
        <f>SUMIFS(Tabel_VAS2022[aantal_VAS],Tabel_VAS2022[Zaakcode],Tabel_prc_2022[[#This Row],[Zaakcode]],Tabel_VAS2022[Adviesofprocedure],"prc",Tabel_VAS2022[code_punten_forfait],16)</f>
        <v>0</v>
      </c>
      <c r="M114" s="35">
        <f>IFERROR(INDEX(Tabel_forfaits[forfait vanaf 2022],MATCH(Tabel_prc_2022[[#This Row],[Zaakcode]],Tabel_forfaits[Zaakcode],0)), "n.v.t.")</f>
        <v>6</v>
      </c>
      <c r="N114" s="35">
        <f>IFERROR(INDEX(Tabel_forfaits[forfait VdM II voor berekening],MATCH(Tabel_prc_2022[[#This Row],[Zaakcode]],Tabel_forfaits[Zaakcode],0)), "n.v.t.")</f>
        <v>6</v>
      </c>
      <c r="O114" s="36"/>
      <c r="P11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4" s="35">
        <f>IF(Tabel_prc_2022[[#This Row],[procedure - forfait VdM II]]="n.v.t.",0,  Tabel_prc_2022[[#This Row],[procedure - aantal 0 punten]] * (Tabel_prc_2022[[#This Row],[procedure - forfait VdM II]] - Tabel_prc_2022[[#This Row],[procedure - forfait VdM I]]))</f>
        <v>0</v>
      </c>
      <c r="T11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107</v>
      </c>
      <c r="U11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4" s="109">
        <f>Tabel_prc_2022[[#This Row],[procedure - totaal extra punten toev. VdM II t.o.v. huidig]] * tarief_huidig</f>
        <v>0</v>
      </c>
    </row>
    <row r="115" spans="2:22" x14ac:dyDescent="0.3">
      <c r="B115" s="1" t="s">
        <v>110</v>
      </c>
      <c r="C115" s="34" t="s">
        <v>5</v>
      </c>
      <c r="D11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483</v>
      </c>
      <c r="E11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4638</v>
      </c>
      <c r="F115" s="91">
        <f>SUMIFS(Tabel_VAS2022[aantal_VAS],Tabel_VAS2022[Zaakcode],Tabel_prc_2022[[#This Row],[Zaakcode]],Tabel_VAS2022[Adviesofprocedure],"prc",Tabel_VAS2022[code_punten_forfait],10)</f>
        <v>0</v>
      </c>
      <c r="G115" s="92">
        <f>SUMIFS(Tabel_VAS2022[aantal_VAS],Tabel_VAS2022[Zaakcode],Tabel_prc_2022[[#This Row],[Zaakcode]],Tabel_VAS2022[Adviesofprocedure],"prc",Tabel_VAS2022[code_punten_forfait],11)</f>
        <v>170</v>
      </c>
      <c r="H115" s="92">
        <f>SUMIFS(Tabel_VAS2022[aantal_VAS],Tabel_VAS2022[Zaakcode],Tabel_prc_2022[[#This Row],[Zaakcode]],Tabel_VAS2022[Adviesofprocedure],"prc",Tabel_VAS2022[code_punten_forfait],13)</f>
        <v>0</v>
      </c>
      <c r="I115" s="92">
        <f>SUMIFS(Tabel_VAS2022[aantal_VAS],Tabel_VAS2022[Zaakcode],Tabel_prc_2022[[#This Row],[Zaakcode]],Tabel_VAS2022[Adviesofprocedure],"prc",Tabel_VAS2022[code_punten_forfait],14)</f>
        <v>3</v>
      </c>
      <c r="J115" s="92">
        <f>SUMIFS(Tabel_VAS2022[aantal_VAS],Tabel_VAS2022[Zaakcode],Tabel_prc_2022[[#This Row],[Zaakcode]],Tabel_VAS2022[Adviesofprocedure],"prc",Tabel_VAS2022[code_punten_forfait],12)</f>
        <v>309</v>
      </c>
      <c r="K115" s="92">
        <f>SUMIFS(Tabel_VAS2022[aantal_VAS],Tabel_VAS2022[Zaakcode],Tabel_prc_2022[[#This Row],[Zaakcode]],Tabel_VAS2022[Adviesofprocedure],"prc",Tabel_VAS2022[code_punten_forfait],15)</f>
        <v>1</v>
      </c>
      <c r="L115" s="92">
        <f>SUMIFS(Tabel_VAS2022[aantal_VAS],Tabel_VAS2022[Zaakcode],Tabel_prc_2022[[#This Row],[Zaakcode]],Tabel_VAS2022[Adviesofprocedure],"prc",Tabel_VAS2022[code_punten_forfait],16)</f>
        <v>0</v>
      </c>
      <c r="M115" s="35">
        <f>IFERROR(INDEX(Tabel_forfaits[forfait vanaf 2022],MATCH(Tabel_prc_2022[[#This Row],[Zaakcode]],Tabel_forfaits[Zaakcode],0)), "n.v.t.")</f>
        <v>11</v>
      </c>
      <c r="N115" s="35">
        <f>IFERROR(INDEX(Tabel_forfaits[forfait VdM II voor berekening],MATCH(Tabel_prc_2022[[#This Row],[Zaakcode]],Tabel_forfaits[Zaakcode],0)), "n.v.t.")</f>
        <v>12</v>
      </c>
      <c r="O115" s="36"/>
      <c r="P11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479</v>
      </c>
      <c r="Q11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v>
      </c>
      <c r="R11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4.5</v>
      </c>
      <c r="S115" s="35">
        <f>IF(Tabel_prc_2022[[#This Row],[procedure - forfait VdM II]]="n.v.t.",0,  Tabel_prc_2022[[#This Row],[procedure - aantal 0 punten]] * (Tabel_prc_2022[[#This Row],[procedure - forfait VdM II]] - Tabel_prc_2022[[#This Row],[procedure - forfait VdM I]]))</f>
        <v>0</v>
      </c>
      <c r="T11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483</v>
      </c>
      <c r="U11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484.5</v>
      </c>
      <c r="V115" s="109">
        <f>Tabel_prc_2022[[#This Row],[procedure - totaal extra punten toev. VdM II t.o.v. huidig]] * tarief_huidig</f>
        <v>74189.304749999996</v>
      </c>
    </row>
    <row r="116" spans="2:22" x14ac:dyDescent="0.3">
      <c r="B116" s="1" t="s">
        <v>111</v>
      </c>
      <c r="C116" s="34" t="s">
        <v>5</v>
      </c>
      <c r="D11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416</v>
      </c>
      <c r="E11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1610</v>
      </c>
      <c r="F116" s="91">
        <f>SUMIFS(Tabel_VAS2022[aantal_VAS],Tabel_VAS2022[Zaakcode],Tabel_prc_2022[[#This Row],[Zaakcode]],Tabel_VAS2022[Adviesofprocedure],"prc",Tabel_VAS2022[code_punten_forfait],10)</f>
        <v>0</v>
      </c>
      <c r="G116" s="92">
        <f>SUMIFS(Tabel_VAS2022[aantal_VAS],Tabel_VAS2022[Zaakcode],Tabel_prc_2022[[#This Row],[Zaakcode]],Tabel_VAS2022[Adviesofprocedure],"prc",Tabel_VAS2022[code_punten_forfait],11)</f>
        <v>168</v>
      </c>
      <c r="H116" s="92">
        <f>SUMIFS(Tabel_VAS2022[aantal_VAS],Tabel_VAS2022[Zaakcode],Tabel_prc_2022[[#This Row],[Zaakcode]],Tabel_VAS2022[Adviesofprocedure],"prc",Tabel_VAS2022[code_punten_forfait],13)</f>
        <v>0</v>
      </c>
      <c r="I116" s="92">
        <f>SUMIFS(Tabel_VAS2022[aantal_VAS],Tabel_VAS2022[Zaakcode],Tabel_prc_2022[[#This Row],[Zaakcode]],Tabel_VAS2022[Adviesofprocedure],"prc",Tabel_VAS2022[code_punten_forfait],14)</f>
        <v>2</v>
      </c>
      <c r="J116" s="92">
        <f>SUMIFS(Tabel_VAS2022[aantal_VAS],Tabel_VAS2022[Zaakcode],Tabel_prc_2022[[#This Row],[Zaakcode]],Tabel_VAS2022[Adviesofprocedure],"prc",Tabel_VAS2022[code_punten_forfait],12)</f>
        <v>241</v>
      </c>
      <c r="K116" s="92">
        <f>SUMIFS(Tabel_VAS2022[aantal_VAS],Tabel_VAS2022[Zaakcode],Tabel_prc_2022[[#This Row],[Zaakcode]],Tabel_VAS2022[Adviesofprocedure],"prc",Tabel_VAS2022[code_punten_forfait],15)</f>
        <v>3</v>
      </c>
      <c r="L116" s="92">
        <f>SUMIFS(Tabel_VAS2022[aantal_VAS],Tabel_VAS2022[Zaakcode],Tabel_prc_2022[[#This Row],[Zaakcode]],Tabel_VAS2022[Adviesofprocedure],"prc",Tabel_VAS2022[code_punten_forfait],16)</f>
        <v>2</v>
      </c>
      <c r="M116" s="35">
        <f>IFERROR(INDEX(Tabel_forfaits[forfait vanaf 2022],MATCH(Tabel_prc_2022[[#This Row],[Zaakcode]],Tabel_forfaits[Zaakcode],0)), "n.v.t.")</f>
        <v>5</v>
      </c>
      <c r="N116" s="35">
        <f>IFERROR(INDEX(Tabel_forfaits[forfait VdM II voor berekening],MATCH(Tabel_prc_2022[[#This Row],[Zaakcode]],Tabel_forfaits[Zaakcode],0)), "n.v.t.")</f>
        <v>9</v>
      </c>
      <c r="O116" s="36"/>
      <c r="P11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1636</v>
      </c>
      <c r="Q11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12</v>
      </c>
      <c r="R11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24</v>
      </c>
      <c r="S116" s="35">
        <f>IF(Tabel_prc_2022[[#This Row],[procedure - forfait VdM II]]="n.v.t.",0,  Tabel_prc_2022[[#This Row],[procedure - aantal 0 punten]] * (Tabel_prc_2022[[#This Row],[procedure - forfait VdM II]] - Tabel_prc_2022[[#This Row],[procedure - forfait VdM I]]))</f>
        <v>0</v>
      </c>
      <c r="T11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416</v>
      </c>
      <c r="U11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1672</v>
      </c>
      <c r="V116" s="109">
        <f>Tabel_prc_2022[[#This Row],[procedure - totaal extra punten toev. VdM II t.o.v. huidig]] * tarief_huidig</f>
        <v>256025.83599999998</v>
      </c>
    </row>
    <row r="117" spans="2:22" x14ac:dyDescent="0.3">
      <c r="B117" s="1" t="s">
        <v>112</v>
      </c>
      <c r="C117" s="34" t="s">
        <v>5</v>
      </c>
      <c r="D11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51</v>
      </c>
      <c r="E11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466</v>
      </c>
      <c r="F117" s="91">
        <f>SUMIFS(Tabel_VAS2022[aantal_VAS],Tabel_VAS2022[Zaakcode],Tabel_prc_2022[[#This Row],[Zaakcode]],Tabel_VAS2022[Adviesofprocedure],"prc",Tabel_VAS2022[code_punten_forfait],10)</f>
        <v>0</v>
      </c>
      <c r="G117" s="92">
        <f>SUMIFS(Tabel_VAS2022[aantal_VAS],Tabel_VAS2022[Zaakcode],Tabel_prc_2022[[#This Row],[Zaakcode]],Tabel_VAS2022[Adviesofprocedure],"prc",Tabel_VAS2022[code_punten_forfait],11)</f>
        <v>24</v>
      </c>
      <c r="H117" s="92">
        <f>SUMIFS(Tabel_VAS2022[aantal_VAS],Tabel_VAS2022[Zaakcode],Tabel_prc_2022[[#This Row],[Zaakcode]],Tabel_VAS2022[Adviesofprocedure],"prc",Tabel_VAS2022[code_punten_forfait],13)</f>
        <v>0</v>
      </c>
      <c r="I117" s="92">
        <f>SUMIFS(Tabel_VAS2022[aantal_VAS],Tabel_VAS2022[Zaakcode],Tabel_prc_2022[[#This Row],[Zaakcode]],Tabel_VAS2022[Adviesofprocedure],"prc",Tabel_VAS2022[code_punten_forfait],14)</f>
        <v>0</v>
      </c>
      <c r="J117" s="92">
        <f>SUMIFS(Tabel_VAS2022[aantal_VAS],Tabel_VAS2022[Zaakcode],Tabel_prc_2022[[#This Row],[Zaakcode]],Tabel_VAS2022[Adviesofprocedure],"prc",Tabel_VAS2022[code_punten_forfait],12)</f>
        <v>26</v>
      </c>
      <c r="K117" s="92">
        <f>SUMIFS(Tabel_VAS2022[aantal_VAS],Tabel_VAS2022[Zaakcode],Tabel_prc_2022[[#This Row],[Zaakcode]],Tabel_VAS2022[Adviesofprocedure],"prc",Tabel_VAS2022[code_punten_forfait],15)</f>
        <v>0</v>
      </c>
      <c r="L117" s="92">
        <f>SUMIFS(Tabel_VAS2022[aantal_VAS],Tabel_VAS2022[Zaakcode],Tabel_prc_2022[[#This Row],[Zaakcode]],Tabel_VAS2022[Adviesofprocedure],"prc",Tabel_VAS2022[code_punten_forfait],16)</f>
        <v>1</v>
      </c>
      <c r="M117" s="35">
        <f>IFERROR(INDEX(Tabel_forfaits[forfait vanaf 2022],MATCH(Tabel_prc_2022[[#This Row],[Zaakcode]],Tabel_forfaits[Zaakcode],0)), "n.v.t.")</f>
        <v>10</v>
      </c>
      <c r="N117" s="35">
        <f>IFERROR(INDEX(Tabel_forfaits[forfait VdM II voor berekening],MATCH(Tabel_prc_2022[[#This Row],[Zaakcode]],Tabel_forfaits[Zaakcode],0)), "n.v.t.")</f>
        <v>10</v>
      </c>
      <c r="O117" s="36"/>
      <c r="P11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7" s="35">
        <f>IF(Tabel_prc_2022[[#This Row],[procedure - forfait VdM II]]="n.v.t.",0,  Tabel_prc_2022[[#This Row],[procedure - aantal 0 punten]] * (Tabel_prc_2022[[#This Row],[procedure - forfait VdM II]] - Tabel_prc_2022[[#This Row],[procedure - forfait VdM I]]))</f>
        <v>0</v>
      </c>
      <c r="T11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51</v>
      </c>
      <c r="U11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7" s="109">
        <f>Tabel_prc_2022[[#This Row],[procedure - totaal extra punten toev. VdM II t.o.v. huidig]] * tarief_huidig</f>
        <v>0</v>
      </c>
    </row>
    <row r="118" spans="2:22" x14ac:dyDescent="0.3">
      <c r="B118" s="1" t="s">
        <v>113</v>
      </c>
      <c r="C118" s="34" t="s">
        <v>5</v>
      </c>
      <c r="D11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67</v>
      </c>
      <c r="E11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263</v>
      </c>
      <c r="F118" s="91">
        <f>SUMIFS(Tabel_VAS2022[aantal_VAS],Tabel_VAS2022[Zaakcode],Tabel_prc_2022[[#This Row],[Zaakcode]],Tabel_VAS2022[Adviesofprocedure],"prc",Tabel_VAS2022[code_punten_forfait],10)</f>
        <v>0</v>
      </c>
      <c r="G118" s="92">
        <f>SUMIFS(Tabel_VAS2022[aantal_VAS],Tabel_VAS2022[Zaakcode],Tabel_prc_2022[[#This Row],[Zaakcode]],Tabel_VAS2022[Adviesofprocedure],"prc",Tabel_VAS2022[code_punten_forfait],11)</f>
        <v>26</v>
      </c>
      <c r="H118" s="92">
        <f>SUMIFS(Tabel_VAS2022[aantal_VAS],Tabel_VAS2022[Zaakcode],Tabel_prc_2022[[#This Row],[Zaakcode]],Tabel_VAS2022[Adviesofprocedure],"prc",Tabel_VAS2022[code_punten_forfait],13)</f>
        <v>0</v>
      </c>
      <c r="I118" s="92">
        <f>SUMIFS(Tabel_VAS2022[aantal_VAS],Tabel_VAS2022[Zaakcode],Tabel_prc_2022[[#This Row],[Zaakcode]],Tabel_VAS2022[Adviesofprocedure],"prc",Tabel_VAS2022[code_punten_forfait],14)</f>
        <v>2</v>
      </c>
      <c r="J118" s="92">
        <f>SUMIFS(Tabel_VAS2022[aantal_VAS],Tabel_VAS2022[Zaakcode],Tabel_prc_2022[[#This Row],[Zaakcode]],Tabel_VAS2022[Adviesofprocedure],"prc",Tabel_VAS2022[code_punten_forfait],12)</f>
        <v>39</v>
      </c>
      <c r="K118" s="92">
        <f>SUMIFS(Tabel_VAS2022[aantal_VAS],Tabel_VAS2022[Zaakcode],Tabel_prc_2022[[#This Row],[Zaakcode]],Tabel_VAS2022[Adviesofprocedure],"prc",Tabel_VAS2022[code_punten_forfait],15)</f>
        <v>0</v>
      </c>
      <c r="L118" s="92">
        <f>SUMIFS(Tabel_VAS2022[aantal_VAS],Tabel_VAS2022[Zaakcode],Tabel_prc_2022[[#This Row],[Zaakcode]],Tabel_VAS2022[Adviesofprocedure],"prc",Tabel_VAS2022[code_punten_forfait],16)</f>
        <v>0</v>
      </c>
      <c r="M118" s="35">
        <f>IFERROR(INDEX(Tabel_forfaits[forfait vanaf 2022],MATCH(Tabel_prc_2022[[#This Row],[Zaakcode]],Tabel_forfaits[Zaakcode],0)), "n.v.t.")</f>
        <v>5</v>
      </c>
      <c r="N118" s="35">
        <f>IFERROR(INDEX(Tabel_forfaits[forfait VdM II voor berekening],MATCH(Tabel_prc_2022[[#This Row],[Zaakcode]],Tabel_forfaits[Zaakcode],0)), "n.v.t.")</f>
        <v>9</v>
      </c>
      <c r="O118" s="36"/>
      <c r="P11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260</v>
      </c>
      <c r="Q11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12</v>
      </c>
      <c r="S118" s="35">
        <f>IF(Tabel_prc_2022[[#This Row],[procedure - forfait VdM II]]="n.v.t.",0,  Tabel_prc_2022[[#This Row],[procedure - aantal 0 punten]] * (Tabel_prc_2022[[#This Row],[procedure - forfait VdM II]] - Tabel_prc_2022[[#This Row],[procedure - forfait VdM I]]))</f>
        <v>0</v>
      </c>
      <c r="T11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67</v>
      </c>
      <c r="U11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272</v>
      </c>
      <c r="V118" s="109">
        <f>Tabel_prc_2022[[#This Row],[procedure - totaal extra punten toev. VdM II t.o.v. huidig]] * tarief_huidig</f>
        <v>41650.135999999999</v>
      </c>
    </row>
    <row r="119" spans="2:22" x14ac:dyDescent="0.3">
      <c r="B119" s="1" t="s">
        <v>114</v>
      </c>
      <c r="C119" s="34" t="s">
        <v>5</v>
      </c>
      <c r="D11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v>
      </c>
      <c r="E11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102</v>
      </c>
      <c r="F119" s="91">
        <f>SUMIFS(Tabel_VAS2022[aantal_VAS],Tabel_VAS2022[Zaakcode],Tabel_prc_2022[[#This Row],[Zaakcode]],Tabel_VAS2022[Adviesofprocedure],"prc",Tabel_VAS2022[code_punten_forfait],10)</f>
        <v>0</v>
      </c>
      <c r="G119" s="92">
        <f>SUMIFS(Tabel_VAS2022[aantal_VAS],Tabel_VAS2022[Zaakcode],Tabel_prc_2022[[#This Row],[Zaakcode]],Tabel_VAS2022[Adviesofprocedure],"prc",Tabel_VAS2022[code_punten_forfait],11)</f>
        <v>12</v>
      </c>
      <c r="H119" s="92">
        <f>SUMIFS(Tabel_VAS2022[aantal_VAS],Tabel_VAS2022[Zaakcode],Tabel_prc_2022[[#This Row],[Zaakcode]],Tabel_VAS2022[Adviesofprocedure],"prc",Tabel_VAS2022[code_punten_forfait],13)</f>
        <v>0</v>
      </c>
      <c r="I119" s="92">
        <f>SUMIFS(Tabel_VAS2022[aantal_VAS],Tabel_VAS2022[Zaakcode],Tabel_prc_2022[[#This Row],[Zaakcode]],Tabel_VAS2022[Adviesofprocedure],"prc",Tabel_VAS2022[code_punten_forfait],14)</f>
        <v>0</v>
      </c>
      <c r="J119" s="92">
        <f>SUMIFS(Tabel_VAS2022[aantal_VAS],Tabel_VAS2022[Zaakcode],Tabel_prc_2022[[#This Row],[Zaakcode]],Tabel_VAS2022[Adviesofprocedure],"prc",Tabel_VAS2022[code_punten_forfait],12)</f>
        <v>7</v>
      </c>
      <c r="K119" s="92">
        <f>SUMIFS(Tabel_VAS2022[aantal_VAS],Tabel_VAS2022[Zaakcode],Tabel_prc_2022[[#This Row],[Zaakcode]],Tabel_VAS2022[Adviesofprocedure],"prc",Tabel_VAS2022[code_punten_forfait],15)</f>
        <v>0</v>
      </c>
      <c r="L119" s="92">
        <f>SUMIFS(Tabel_VAS2022[aantal_VAS],Tabel_VAS2022[Zaakcode],Tabel_prc_2022[[#This Row],[Zaakcode]],Tabel_VAS2022[Adviesofprocedure],"prc",Tabel_VAS2022[code_punten_forfait],16)</f>
        <v>0</v>
      </c>
      <c r="M119" s="35">
        <f>IFERROR(INDEX(Tabel_forfaits[forfait vanaf 2022],MATCH(Tabel_prc_2022[[#This Row],[Zaakcode]],Tabel_forfaits[Zaakcode],0)), "n.v.t.")</f>
        <v>6</v>
      </c>
      <c r="N119" s="35">
        <f>IFERROR(INDEX(Tabel_forfaits[forfait VdM II voor berekening],MATCH(Tabel_prc_2022[[#This Row],[Zaakcode]],Tabel_forfaits[Zaakcode],0)), "n.v.t.")</f>
        <v>6</v>
      </c>
      <c r="O119" s="36"/>
      <c r="P11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1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1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19" s="35">
        <f>IF(Tabel_prc_2022[[#This Row],[procedure - forfait VdM II]]="n.v.t.",0,  Tabel_prc_2022[[#This Row],[procedure - aantal 0 punten]] * (Tabel_prc_2022[[#This Row],[procedure - forfait VdM II]] - Tabel_prc_2022[[#This Row],[procedure - forfait VdM I]]))</f>
        <v>0</v>
      </c>
      <c r="T11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v>
      </c>
      <c r="U11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19" s="109">
        <f>Tabel_prc_2022[[#This Row],[procedure - totaal extra punten toev. VdM II t.o.v. huidig]] * tarief_huidig</f>
        <v>0</v>
      </c>
    </row>
    <row r="120" spans="2:22" x14ac:dyDescent="0.3">
      <c r="B120" s="1" t="s">
        <v>115</v>
      </c>
      <c r="C120" s="34" t="s">
        <v>5</v>
      </c>
      <c r="D12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75</v>
      </c>
      <c r="E12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218</v>
      </c>
      <c r="F120" s="91">
        <f>SUMIFS(Tabel_VAS2022[aantal_VAS],Tabel_VAS2022[Zaakcode],Tabel_prc_2022[[#This Row],[Zaakcode]],Tabel_VAS2022[Adviesofprocedure],"prc",Tabel_VAS2022[code_punten_forfait],10)</f>
        <v>0</v>
      </c>
      <c r="G120" s="92">
        <f>SUMIFS(Tabel_VAS2022[aantal_VAS],Tabel_VAS2022[Zaakcode],Tabel_prc_2022[[#This Row],[Zaakcode]],Tabel_VAS2022[Adviesofprocedure],"prc",Tabel_VAS2022[code_punten_forfait],11)</f>
        <v>41</v>
      </c>
      <c r="H120" s="92">
        <f>SUMIFS(Tabel_VAS2022[aantal_VAS],Tabel_VAS2022[Zaakcode],Tabel_prc_2022[[#This Row],[Zaakcode]],Tabel_VAS2022[Adviesofprocedure],"prc",Tabel_VAS2022[code_punten_forfait],13)</f>
        <v>0</v>
      </c>
      <c r="I120" s="92">
        <f>SUMIFS(Tabel_VAS2022[aantal_VAS],Tabel_VAS2022[Zaakcode],Tabel_prc_2022[[#This Row],[Zaakcode]],Tabel_VAS2022[Adviesofprocedure],"prc",Tabel_VAS2022[code_punten_forfait],14)</f>
        <v>1</v>
      </c>
      <c r="J120" s="92">
        <f>SUMIFS(Tabel_VAS2022[aantal_VAS],Tabel_VAS2022[Zaakcode],Tabel_prc_2022[[#This Row],[Zaakcode]],Tabel_VAS2022[Adviesofprocedure],"prc",Tabel_VAS2022[code_punten_forfait],12)</f>
        <v>33</v>
      </c>
      <c r="K120" s="92">
        <f>SUMIFS(Tabel_VAS2022[aantal_VAS],Tabel_VAS2022[Zaakcode],Tabel_prc_2022[[#This Row],[Zaakcode]],Tabel_VAS2022[Adviesofprocedure],"prc",Tabel_VAS2022[code_punten_forfait],15)</f>
        <v>0</v>
      </c>
      <c r="L120" s="92">
        <f>SUMIFS(Tabel_VAS2022[aantal_VAS],Tabel_VAS2022[Zaakcode],Tabel_prc_2022[[#This Row],[Zaakcode]],Tabel_VAS2022[Adviesofprocedure],"prc",Tabel_VAS2022[code_punten_forfait],16)</f>
        <v>0</v>
      </c>
      <c r="M120" s="35">
        <f>IFERROR(INDEX(Tabel_forfaits[forfait vanaf 2022],MATCH(Tabel_prc_2022[[#This Row],[Zaakcode]],Tabel_forfaits[Zaakcode],0)), "n.v.t.")</f>
        <v>4</v>
      </c>
      <c r="N120" s="35">
        <f>IFERROR(INDEX(Tabel_forfaits[forfait VdM II voor berekening],MATCH(Tabel_prc_2022[[#This Row],[Zaakcode]],Tabel_forfaits[Zaakcode],0)), "n.v.t.")</f>
        <v>7</v>
      </c>
      <c r="O120" s="36"/>
      <c r="P12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222</v>
      </c>
      <c r="Q12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4.5</v>
      </c>
      <c r="S120" s="35">
        <f>IF(Tabel_prc_2022[[#This Row],[procedure - forfait VdM II]]="n.v.t.",0,  Tabel_prc_2022[[#This Row],[procedure - aantal 0 punten]] * (Tabel_prc_2022[[#This Row],[procedure - forfait VdM II]] - Tabel_prc_2022[[#This Row],[procedure - forfait VdM I]]))</f>
        <v>0</v>
      </c>
      <c r="T12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75</v>
      </c>
      <c r="U12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226.5</v>
      </c>
      <c r="V120" s="109">
        <f>Tabel_prc_2022[[#This Row],[procedure - totaal extra punten toev. VdM II t.o.v. huidig]] * tarief_huidig</f>
        <v>34682.925749999995</v>
      </c>
    </row>
    <row r="121" spans="2:22" x14ac:dyDescent="0.3">
      <c r="B121" s="1" t="s">
        <v>116</v>
      </c>
      <c r="C121" s="34" t="s">
        <v>5</v>
      </c>
      <c r="D12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v>
      </c>
      <c r="E12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105</v>
      </c>
      <c r="F121" s="91">
        <f>SUMIFS(Tabel_VAS2022[aantal_VAS],Tabel_VAS2022[Zaakcode],Tabel_prc_2022[[#This Row],[Zaakcode]],Tabel_VAS2022[Adviesofprocedure],"prc",Tabel_VAS2022[code_punten_forfait],10)</f>
        <v>0</v>
      </c>
      <c r="G121" s="92">
        <f>SUMIFS(Tabel_VAS2022[aantal_VAS],Tabel_VAS2022[Zaakcode],Tabel_prc_2022[[#This Row],[Zaakcode]],Tabel_VAS2022[Adviesofprocedure],"prc",Tabel_VAS2022[code_punten_forfait],11)</f>
        <v>8</v>
      </c>
      <c r="H121" s="92">
        <f>SUMIFS(Tabel_VAS2022[aantal_VAS],Tabel_VAS2022[Zaakcode],Tabel_prc_2022[[#This Row],[Zaakcode]],Tabel_VAS2022[Adviesofprocedure],"prc",Tabel_VAS2022[code_punten_forfait],13)</f>
        <v>0</v>
      </c>
      <c r="I121" s="92">
        <f>SUMIFS(Tabel_VAS2022[aantal_VAS],Tabel_VAS2022[Zaakcode],Tabel_prc_2022[[#This Row],[Zaakcode]],Tabel_VAS2022[Adviesofprocedure],"prc",Tabel_VAS2022[code_punten_forfait],14)</f>
        <v>0</v>
      </c>
      <c r="J121" s="92">
        <f>SUMIFS(Tabel_VAS2022[aantal_VAS],Tabel_VAS2022[Zaakcode],Tabel_prc_2022[[#This Row],[Zaakcode]],Tabel_VAS2022[Adviesofprocedure],"prc",Tabel_VAS2022[code_punten_forfait],12)</f>
        <v>7</v>
      </c>
      <c r="K121" s="92">
        <f>SUMIFS(Tabel_VAS2022[aantal_VAS],Tabel_VAS2022[Zaakcode],Tabel_prc_2022[[#This Row],[Zaakcode]],Tabel_VAS2022[Adviesofprocedure],"prc",Tabel_VAS2022[code_punten_forfait],15)</f>
        <v>0</v>
      </c>
      <c r="L121" s="92">
        <f>SUMIFS(Tabel_VAS2022[aantal_VAS],Tabel_VAS2022[Zaakcode],Tabel_prc_2022[[#This Row],[Zaakcode]],Tabel_VAS2022[Adviesofprocedure],"prc",Tabel_VAS2022[code_punten_forfait],16)</f>
        <v>0</v>
      </c>
      <c r="M121" s="35">
        <f>IFERROR(INDEX(Tabel_forfaits[forfait vanaf 2022],MATCH(Tabel_prc_2022[[#This Row],[Zaakcode]],Tabel_forfaits[Zaakcode],0)), "n.v.t.")</f>
        <v>7</v>
      </c>
      <c r="N121" s="35">
        <f>IFERROR(INDEX(Tabel_forfaits[forfait VdM II voor berekening],MATCH(Tabel_prc_2022[[#This Row],[Zaakcode]],Tabel_forfaits[Zaakcode],0)), "n.v.t.")</f>
        <v>7</v>
      </c>
      <c r="O121" s="36"/>
      <c r="P12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1" s="35">
        <f>IF(Tabel_prc_2022[[#This Row],[procedure - forfait VdM II]]="n.v.t.",0,  Tabel_prc_2022[[#This Row],[procedure - aantal 0 punten]] * (Tabel_prc_2022[[#This Row],[procedure - forfait VdM II]] - Tabel_prc_2022[[#This Row],[procedure - forfait VdM I]]))</f>
        <v>0</v>
      </c>
      <c r="T12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v>
      </c>
      <c r="U12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1" s="109">
        <f>Tabel_prc_2022[[#This Row],[procedure - totaal extra punten toev. VdM II t.o.v. huidig]] * tarief_huidig</f>
        <v>0</v>
      </c>
    </row>
    <row r="122" spans="2:22" x14ac:dyDescent="0.3">
      <c r="B122" s="1" t="s">
        <v>117</v>
      </c>
      <c r="C122" s="34" t="s">
        <v>5</v>
      </c>
      <c r="D12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12</v>
      </c>
      <c r="E12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96</v>
      </c>
      <c r="F122" s="91">
        <f>SUMIFS(Tabel_VAS2022[aantal_VAS],Tabel_VAS2022[Zaakcode],Tabel_prc_2022[[#This Row],[Zaakcode]],Tabel_VAS2022[Adviesofprocedure],"prc",Tabel_VAS2022[code_punten_forfait],10)</f>
        <v>0</v>
      </c>
      <c r="G122" s="92">
        <f>SUMIFS(Tabel_VAS2022[aantal_VAS],Tabel_VAS2022[Zaakcode],Tabel_prc_2022[[#This Row],[Zaakcode]],Tabel_VAS2022[Adviesofprocedure],"prc",Tabel_VAS2022[code_punten_forfait],11)</f>
        <v>7</v>
      </c>
      <c r="H122" s="92">
        <f>SUMIFS(Tabel_VAS2022[aantal_VAS],Tabel_VAS2022[Zaakcode],Tabel_prc_2022[[#This Row],[Zaakcode]],Tabel_VAS2022[Adviesofprocedure],"prc",Tabel_VAS2022[code_punten_forfait],13)</f>
        <v>0</v>
      </c>
      <c r="I122" s="92">
        <f>SUMIFS(Tabel_VAS2022[aantal_VAS],Tabel_VAS2022[Zaakcode],Tabel_prc_2022[[#This Row],[Zaakcode]],Tabel_VAS2022[Adviesofprocedure],"prc",Tabel_VAS2022[code_punten_forfait],14)</f>
        <v>0</v>
      </c>
      <c r="J122" s="92">
        <f>SUMIFS(Tabel_VAS2022[aantal_VAS],Tabel_VAS2022[Zaakcode],Tabel_prc_2022[[#This Row],[Zaakcode]],Tabel_VAS2022[Adviesofprocedure],"prc",Tabel_VAS2022[code_punten_forfait],12)</f>
        <v>5</v>
      </c>
      <c r="K122" s="92">
        <f>SUMIFS(Tabel_VAS2022[aantal_VAS],Tabel_VAS2022[Zaakcode],Tabel_prc_2022[[#This Row],[Zaakcode]],Tabel_VAS2022[Adviesofprocedure],"prc",Tabel_VAS2022[code_punten_forfait],15)</f>
        <v>0</v>
      </c>
      <c r="L122" s="92">
        <f>SUMIFS(Tabel_VAS2022[aantal_VAS],Tabel_VAS2022[Zaakcode],Tabel_prc_2022[[#This Row],[Zaakcode]],Tabel_VAS2022[Adviesofprocedure],"prc",Tabel_VAS2022[code_punten_forfait],16)</f>
        <v>0</v>
      </c>
      <c r="M122" s="35">
        <f>IFERROR(INDEX(Tabel_forfaits[forfait vanaf 2022],MATCH(Tabel_prc_2022[[#This Row],[Zaakcode]],Tabel_forfaits[Zaakcode],0)), "n.v.t.")</f>
        <v>8</v>
      </c>
      <c r="N122" s="35">
        <f>IFERROR(INDEX(Tabel_forfaits[forfait VdM II voor berekening],MATCH(Tabel_prc_2022[[#This Row],[Zaakcode]],Tabel_forfaits[Zaakcode],0)), "n.v.t.")</f>
        <v>8</v>
      </c>
      <c r="O122" s="36"/>
      <c r="P12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2" s="35">
        <f>IF(Tabel_prc_2022[[#This Row],[procedure - forfait VdM II]]="n.v.t.",0,  Tabel_prc_2022[[#This Row],[procedure - aantal 0 punten]] * (Tabel_prc_2022[[#This Row],[procedure - forfait VdM II]] - Tabel_prc_2022[[#This Row],[procedure - forfait VdM I]]))</f>
        <v>0</v>
      </c>
      <c r="T12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12</v>
      </c>
      <c r="U12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2" s="109">
        <f>Tabel_prc_2022[[#This Row],[procedure - totaal extra punten toev. VdM II t.o.v. huidig]] * tarief_huidig</f>
        <v>0</v>
      </c>
    </row>
    <row r="123" spans="2:22" x14ac:dyDescent="0.3">
      <c r="B123" s="1" t="s">
        <v>118</v>
      </c>
      <c r="C123" s="34" t="s">
        <v>5</v>
      </c>
      <c r="D12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v>
      </c>
      <c r="E12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30</v>
      </c>
      <c r="F123" s="91">
        <f>SUMIFS(Tabel_VAS2022[aantal_VAS],Tabel_VAS2022[Zaakcode],Tabel_prc_2022[[#This Row],[Zaakcode]],Tabel_VAS2022[Adviesofprocedure],"prc",Tabel_VAS2022[code_punten_forfait],10)</f>
        <v>0</v>
      </c>
      <c r="G123" s="92">
        <f>SUMIFS(Tabel_VAS2022[aantal_VAS],Tabel_VAS2022[Zaakcode],Tabel_prc_2022[[#This Row],[Zaakcode]],Tabel_VAS2022[Adviesofprocedure],"prc",Tabel_VAS2022[code_punten_forfait],11)</f>
        <v>3</v>
      </c>
      <c r="H123" s="92">
        <f>SUMIFS(Tabel_VAS2022[aantal_VAS],Tabel_VAS2022[Zaakcode],Tabel_prc_2022[[#This Row],[Zaakcode]],Tabel_VAS2022[Adviesofprocedure],"prc",Tabel_VAS2022[code_punten_forfait],13)</f>
        <v>0</v>
      </c>
      <c r="I123" s="92">
        <f>SUMIFS(Tabel_VAS2022[aantal_VAS],Tabel_VAS2022[Zaakcode],Tabel_prc_2022[[#This Row],[Zaakcode]],Tabel_VAS2022[Adviesofprocedure],"prc",Tabel_VAS2022[code_punten_forfait],14)</f>
        <v>0</v>
      </c>
      <c r="J123" s="92">
        <f>SUMIFS(Tabel_VAS2022[aantal_VAS],Tabel_VAS2022[Zaakcode],Tabel_prc_2022[[#This Row],[Zaakcode]],Tabel_VAS2022[Adviesofprocedure],"prc",Tabel_VAS2022[code_punten_forfait],12)</f>
        <v>3</v>
      </c>
      <c r="K123" s="92">
        <f>SUMIFS(Tabel_VAS2022[aantal_VAS],Tabel_VAS2022[Zaakcode],Tabel_prc_2022[[#This Row],[Zaakcode]],Tabel_VAS2022[Adviesofprocedure],"prc",Tabel_VAS2022[code_punten_forfait],15)</f>
        <v>0</v>
      </c>
      <c r="L123" s="92">
        <f>SUMIFS(Tabel_VAS2022[aantal_VAS],Tabel_VAS2022[Zaakcode],Tabel_prc_2022[[#This Row],[Zaakcode]],Tabel_VAS2022[Adviesofprocedure],"prc",Tabel_VAS2022[code_punten_forfait],16)</f>
        <v>0</v>
      </c>
      <c r="M123" s="35">
        <f>IFERROR(INDEX(Tabel_forfaits[forfait vanaf 2022],MATCH(Tabel_prc_2022[[#This Row],[Zaakcode]],Tabel_forfaits[Zaakcode],0)), "n.v.t.")</f>
        <v>5</v>
      </c>
      <c r="N123" s="35">
        <f>IFERROR(INDEX(Tabel_forfaits[forfait VdM II voor berekening],MATCH(Tabel_prc_2022[[#This Row],[Zaakcode]],Tabel_forfaits[Zaakcode],0)), "n.v.t.")</f>
        <v>5</v>
      </c>
      <c r="O123" s="36"/>
      <c r="P12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3" s="35">
        <f>IF(Tabel_prc_2022[[#This Row],[procedure - forfait VdM II]]="n.v.t.",0,  Tabel_prc_2022[[#This Row],[procedure - aantal 0 punten]] * (Tabel_prc_2022[[#This Row],[procedure - forfait VdM II]] - Tabel_prc_2022[[#This Row],[procedure - forfait VdM I]]))</f>
        <v>0</v>
      </c>
      <c r="T12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v>
      </c>
      <c r="U12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3" s="109">
        <f>Tabel_prc_2022[[#This Row],[procedure - totaal extra punten toev. VdM II t.o.v. huidig]] * tarief_huidig</f>
        <v>0</v>
      </c>
    </row>
    <row r="124" spans="2:22" x14ac:dyDescent="0.3">
      <c r="B124" s="1" t="s">
        <v>119</v>
      </c>
      <c r="C124" s="34" t="s">
        <v>5</v>
      </c>
      <c r="D12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v>
      </c>
      <c r="E12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63</v>
      </c>
      <c r="F124" s="91">
        <f>SUMIFS(Tabel_VAS2022[aantal_VAS],Tabel_VAS2022[Zaakcode],Tabel_prc_2022[[#This Row],[Zaakcode]],Tabel_VAS2022[Adviesofprocedure],"prc",Tabel_VAS2022[code_punten_forfait],10)</f>
        <v>0</v>
      </c>
      <c r="G124" s="92">
        <f>SUMIFS(Tabel_VAS2022[aantal_VAS],Tabel_VAS2022[Zaakcode],Tabel_prc_2022[[#This Row],[Zaakcode]],Tabel_VAS2022[Adviesofprocedure],"prc",Tabel_VAS2022[code_punten_forfait],11)</f>
        <v>4</v>
      </c>
      <c r="H124" s="92">
        <f>SUMIFS(Tabel_VAS2022[aantal_VAS],Tabel_VAS2022[Zaakcode],Tabel_prc_2022[[#This Row],[Zaakcode]],Tabel_VAS2022[Adviesofprocedure],"prc",Tabel_VAS2022[code_punten_forfait],13)</f>
        <v>0</v>
      </c>
      <c r="I124" s="92">
        <f>SUMIFS(Tabel_VAS2022[aantal_VAS],Tabel_VAS2022[Zaakcode],Tabel_prc_2022[[#This Row],[Zaakcode]],Tabel_VAS2022[Adviesofprocedure],"prc",Tabel_VAS2022[code_punten_forfait],14)</f>
        <v>0</v>
      </c>
      <c r="J124" s="92">
        <f>SUMIFS(Tabel_VAS2022[aantal_VAS],Tabel_VAS2022[Zaakcode],Tabel_prc_2022[[#This Row],[Zaakcode]],Tabel_VAS2022[Adviesofprocedure],"prc",Tabel_VAS2022[code_punten_forfait],12)</f>
        <v>5</v>
      </c>
      <c r="K124" s="92">
        <f>SUMIFS(Tabel_VAS2022[aantal_VAS],Tabel_VAS2022[Zaakcode],Tabel_prc_2022[[#This Row],[Zaakcode]],Tabel_VAS2022[Adviesofprocedure],"prc",Tabel_VAS2022[code_punten_forfait],15)</f>
        <v>0</v>
      </c>
      <c r="L124" s="92">
        <f>SUMIFS(Tabel_VAS2022[aantal_VAS],Tabel_VAS2022[Zaakcode],Tabel_prc_2022[[#This Row],[Zaakcode]],Tabel_VAS2022[Adviesofprocedure],"prc",Tabel_VAS2022[code_punten_forfait],16)</f>
        <v>0</v>
      </c>
      <c r="M124" s="35">
        <f>IFERROR(INDEX(Tabel_forfaits[forfait vanaf 2022],MATCH(Tabel_prc_2022[[#This Row],[Zaakcode]],Tabel_forfaits[Zaakcode],0)), "n.v.t.")</f>
        <v>7</v>
      </c>
      <c r="N124" s="35">
        <f>IFERROR(INDEX(Tabel_forfaits[forfait VdM II voor berekening],MATCH(Tabel_prc_2022[[#This Row],[Zaakcode]],Tabel_forfaits[Zaakcode],0)), "n.v.t.")</f>
        <v>7</v>
      </c>
      <c r="O124" s="36"/>
      <c r="P12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4" s="35">
        <f>IF(Tabel_prc_2022[[#This Row],[procedure - forfait VdM II]]="n.v.t.",0,  Tabel_prc_2022[[#This Row],[procedure - aantal 0 punten]] * (Tabel_prc_2022[[#This Row],[procedure - forfait VdM II]] - Tabel_prc_2022[[#This Row],[procedure - forfait VdM I]]))</f>
        <v>0</v>
      </c>
      <c r="T12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v>
      </c>
      <c r="U12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4" s="109">
        <f>Tabel_prc_2022[[#This Row],[procedure - totaal extra punten toev. VdM II t.o.v. huidig]] * tarief_huidig</f>
        <v>0</v>
      </c>
    </row>
    <row r="125" spans="2:22" x14ac:dyDescent="0.3">
      <c r="B125" s="1" t="s">
        <v>120</v>
      </c>
      <c r="C125" s="34" t="s">
        <v>5</v>
      </c>
      <c r="D12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31</v>
      </c>
      <c r="E12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102</v>
      </c>
      <c r="F125" s="91">
        <f>SUMIFS(Tabel_VAS2022[aantal_VAS],Tabel_VAS2022[Zaakcode],Tabel_prc_2022[[#This Row],[Zaakcode]],Tabel_VAS2022[Adviesofprocedure],"prc",Tabel_VAS2022[code_punten_forfait],10)</f>
        <v>0</v>
      </c>
      <c r="G125" s="92">
        <f>SUMIFS(Tabel_VAS2022[aantal_VAS],Tabel_VAS2022[Zaakcode],Tabel_prc_2022[[#This Row],[Zaakcode]],Tabel_VAS2022[Adviesofprocedure],"prc",Tabel_VAS2022[code_punten_forfait],11)</f>
        <v>15</v>
      </c>
      <c r="H125" s="92">
        <f>SUMIFS(Tabel_VAS2022[aantal_VAS],Tabel_VAS2022[Zaakcode],Tabel_prc_2022[[#This Row],[Zaakcode]],Tabel_VAS2022[Adviesofprocedure],"prc",Tabel_VAS2022[code_punten_forfait],13)</f>
        <v>0</v>
      </c>
      <c r="I125" s="92">
        <f>SUMIFS(Tabel_VAS2022[aantal_VAS],Tabel_VAS2022[Zaakcode],Tabel_prc_2022[[#This Row],[Zaakcode]],Tabel_VAS2022[Adviesofprocedure],"prc",Tabel_VAS2022[code_punten_forfait],14)</f>
        <v>1</v>
      </c>
      <c r="J125" s="92">
        <f>SUMIFS(Tabel_VAS2022[aantal_VAS],Tabel_VAS2022[Zaakcode],Tabel_prc_2022[[#This Row],[Zaakcode]],Tabel_VAS2022[Adviesofprocedure],"prc",Tabel_VAS2022[code_punten_forfait],12)</f>
        <v>14</v>
      </c>
      <c r="K125" s="92">
        <f>SUMIFS(Tabel_VAS2022[aantal_VAS],Tabel_VAS2022[Zaakcode],Tabel_prc_2022[[#This Row],[Zaakcode]],Tabel_VAS2022[Adviesofprocedure],"prc",Tabel_VAS2022[code_punten_forfait],15)</f>
        <v>0</v>
      </c>
      <c r="L125" s="92">
        <f>SUMIFS(Tabel_VAS2022[aantal_VAS],Tabel_VAS2022[Zaakcode],Tabel_prc_2022[[#This Row],[Zaakcode]],Tabel_VAS2022[Adviesofprocedure],"prc",Tabel_VAS2022[code_punten_forfait],16)</f>
        <v>1</v>
      </c>
      <c r="M125" s="35">
        <f>IFERROR(INDEX(Tabel_forfaits[forfait vanaf 2022],MATCH(Tabel_prc_2022[[#This Row],[Zaakcode]],Tabel_forfaits[Zaakcode],0)), "n.v.t.")</f>
        <v>4</v>
      </c>
      <c r="N125" s="35">
        <f>IFERROR(INDEX(Tabel_forfaits[forfait VdM II voor berekening],MATCH(Tabel_prc_2022[[#This Row],[Zaakcode]],Tabel_forfaits[Zaakcode],0)), "n.v.t.")</f>
        <v>4</v>
      </c>
      <c r="O125" s="36"/>
      <c r="P12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5" s="35">
        <f>IF(Tabel_prc_2022[[#This Row],[procedure - forfait VdM II]]="n.v.t.",0,  Tabel_prc_2022[[#This Row],[procedure - aantal 0 punten]] * (Tabel_prc_2022[[#This Row],[procedure - forfait VdM II]] - Tabel_prc_2022[[#This Row],[procedure - forfait VdM I]]))</f>
        <v>0</v>
      </c>
      <c r="T12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31</v>
      </c>
      <c r="U12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5" s="109">
        <f>Tabel_prc_2022[[#This Row],[procedure - totaal extra punten toev. VdM II t.o.v. huidig]] * tarief_huidig</f>
        <v>0</v>
      </c>
    </row>
    <row r="126" spans="2:22" x14ac:dyDescent="0.3">
      <c r="B126" s="1" t="s">
        <v>121</v>
      </c>
      <c r="C126" s="34" t="s">
        <v>5</v>
      </c>
      <c r="D12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v>
      </c>
      <c r="E12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48</v>
      </c>
      <c r="F126" s="91">
        <f>SUMIFS(Tabel_VAS2022[aantal_VAS],Tabel_VAS2022[Zaakcode],Tabel_prc_2022[[#This Row],[Zaakcode]],Tabel_VAS2022[Adviesofprocedure],"prc",Tabel_VAS2022[code_punten_forfait],10)</f>
        <v>0</v>
      </c>
      <c r="G126" s="92">
        <f>SUMIFS(Tabel_VAS2022[aantal_VAS],Tabel_VAS2022[Zaakcode],Tabel_prc_2022[[#This Row],[Zaakcode]],Tabel_VAS2022[Adviesofprocedure],"prc",Tabel_VAS2022[code_punten_forfait],11)</f>
        <v>5</v>
      </c>
      <c r="H126" s="92">
        <f>SUMIFS(Tabel_VAS2022[aantal_VAS],Tabel_VAS2022[Zaakcode],Tabel_prc_2022[[#This Row],[Zaakcode]],Tabel_VAS2022[Adviesofprocedure],"prc",Tabel_VAS2022[code_punten_forfait],13)</f>
        <v>0</v>
      </c>
      <c r="I126" s="92">
        <f>SUMIFS(Tabel_VAS2022[aantal_VAS],Tabel_VAS2022[Zaakcode],Tabel_prc_2022[[#This Row],[Zaakcode]],Tabel_VAS2022[Adviesofprocedure],"prc",Tabel_VAS2022[code_punten_forfait],14)</f>
        <v>0</v>
      </c>
      <c r="J126" s="92">
        <f>SUMIFS(Tabel_VAS2022[aantal_VAS],Tabel_VAS2022[Zaakcode],Tabel_prc_2022[[#This Row],[Zaakcode]],Tabel_VAS2022[Adviesofprocedure],"prc",Tabel_VAS2022[code_punten_forfait],12)</f>
        <v>1</v>
      </c>
      <c r="K126" s="92">
        <f>SUMIFS(Tabel_VAS2022[aantal_VAS],Tabel_VAS2022[Zaakcode],Tabel_prc_2022[[#This Row],[Zaakcode]],Tabel_VAS2022[Adviesofprocedure],"prc",Tabel_VAS2022[code_punten_forfait],15)</f>
        <v>0</v>
      </c>
      <c r="L126" s="92">
        <f>SUMIFS(Tabel_VAS2022[aantal_VAS],Tabel_VAS2022[Zaakcode],Tabel_prc_2022[[#This Row],[Zaakcode]],Tabel_VAS2022[Adviesofprocedure],"prc",Tabel_VAS2022[code_punten_forfait],16)</f>
        <v>0</v>
      </c>
      <c r="M126" s="35">
        <f>IFERROR(INDEX(Tabel_forfaits[forfait vanaf 2022],MATCH(Tabel_prc_2022[[#This Row],[Zaakcode]],Tabel_forfaits[Zaakcode],0)), "n.v.t.")</f>
        <v>8</v>
      </c>
      <c r="N126" s="35">
        <f>IFERROR(INDEX(Tabel_forfaits[forfait VdM II voor berekening],MATCH(Tabel_prc_2022[[#This Row],[Zaakcode]],Tabel_forfaits[Zaakcode],0)), "n.v.t.")</f>
        <v>8</v>
      </c>
      <c r="O126" s="36"/>
      <c r="P12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6" s="35">
        <f>IF(Tabel_prc_2022[[#This Row],[procedure - forfait VdM II]]="n.v.t.",0,  Tabel_prc_2022[[#This Row],[procedure - aantal 0 punten]] * (Tabel_prc_2022[[#This Row],[procedure - forfait VdM II]] - Tabel_prc_2022[[#This Row],[procedure - forfait VdM I]]))</f>
        <v>0</v>
      </c>
      <c r="T12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v>
      </c>
      <c r="U12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6" s="109">
        <f>Tabel_prc_2022[[#This Row],[procedure - totaal extra punten toev. VdM II t.o.v. huidig]] * tarief_huidig</f>
        <v>0</v>
      </c>
    </row>
    <row r="127" spans="2:22" x14ac:dyDescent="0.3">
      <c r="B127" s="1" t="s">
        <v>122</v>
      </c>
      <c r="C127" s="34" t="s">
        <v>5</v>
      </c>
      <c r="D12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v>
      </c>
      <c r="E12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17</v>
      </c>
      <c r="F127" s="91">
        <f>SUMIFS(Tabel_VAS2022[aantal_VAS],Tabel_VAS2022[Zaakcode],Tabel_prc_2022[[#This Row],[Zaakcode]],Tabel_VAS2022[Adviesofprocedure],"prc",Tabel_VAS2022[code_punten_forfait],10)</f>
        <v>0</v>
      </c>
      <c r="G127" s="92">
        <f>SUMIFS(Tabel_VAS2022[aantal_VAS],Tabel_VAS2022[Zaakcode],Tabel_prc_2022[[#This Row],[Zaakcode]],Tabel_VAS2022[Adviesofprocedure],"prc",Tabel_VAS2022[code_punten_forfait],11)</f>
        <v>1</v>
      </c>
      <c r="H127" s="92">
        <f>SUMIFS(Tabel_VAS2022[aantal_VAS],Tabel_VAS2022[Zaakcode],Tabel_prc_2022[[#This Row],[Zaakcode]],Tabel_VAS2022[Adviesofprocedure],"prc",Tabel_VAS2022[code_punten_forfait],13)</f>
        <v>0</v>
      </c>
      <c r="I127" s="92">
        <f>SUMIFS(Tabel_VAS2022[aantal_VAS],Tabel_VAS2022[Zaakcode],Tabel_prc_2022[[#This Row],[Zaakcode]],Tabel_VAS2022[Adviesofprocedure],"prc",Tabel_VAS2022[code_punten_forfait],14)</f>
        <v>0</v>
      </c>
      <c r="J127" s="92">
        <f>SUMIFS(Tabel_VAS2022[aantal_VAS],Tabel_VAS2022[Zaakcode],Tabel_prc_2022[[#This Row],[Zaakcode]],Tabel_VAS2022[Adviesofprocedure],"prc",Tabel_VAS2022[code_punten_forfait],12)</f>
        <v>3</v>
      </c>
      <c r="K127" s="92">
        <f>SUMIFS(Tabel_VAS2022[aantal_VAS],Tabel_VAS2022[Zaakcode],Tabel_prc_2022[[#This Row],[Zaakcode]],Tabel_VAS2022[Adviesofprocedure],"prc",Tabel_VAS2022[code_punten_forfait],15)</f>
        <v>0</v>
      </c>
      <c r="L127" s="92">
        <f>SUMIFS(Tabel_VAS2022[aantal_VAS],Tabel_VAS2022[Zaakcode],Tabel_prc_2022[[#This Row],[Zaakcode]],Tabel_VAS2022[Adviesofprocedure],"prc",Tabel_VAS2022[code_punten_forfait],16)</f>
        <v>0</v>
      </c>
      <c r="M127" s="35">
        <f>IFERROR(INDEX(Tabel_forfaits[forfait vanaf 2022],MATCH(Tabel_prc_2022[[#This Row],[Zaakcode]],Tabel_forfaits[Zaakcode],0)), "n.v.t.")</f>
        <v>5</v>
      </c>
      <c r="N127" s="35">
        <f>IFERROR(INDEX(Tabel_forfaits[forfait VdM II voor berekening],MATCH(Tabel_prc_2022[[#This Row],[Zaakcode]],Tabel_forfaits[Zaakcode],0)), "n.v.t.")</f>
        <v>5</v>
      </c>
      <c r="O127" s="36"/>
      <c r="P12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7" s="35">
        <f>IF(Tabel_prc_2022[[#This Row],[procedure - forfait VdM II]]="n.v.t.",0,  Tabel_prc_2022[[#This Row],[procedure - aantal 0 punten]] * (Tabel_prc_2022[[#This Row],[procedure - forfait VdM II]] - Tabel_prc_2022[[#This Row],[procedure - forfait VdM I]]))</f>
        <v>0</v>
      </c>
      <c r="T12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v>
      </c>
      <c r="U12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7" s="109">
        <f>Tabel_prc_2022[[#This Row],[procedure - totaal extra punten toev. VdM II t.o.v. huidig]] * tarief_huidig</f>
        <v>0</v>
      </c>
    </row>
    <row r="128" spans="2:22" x14ac:dyDescent="0.3">
      <c r="B128" s="1" t="s">
        <v>123</v>
      </c>
      <c r="C128" s="34" t="s">
        <v>5</v>
      </c>
      <c r="D12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v>
      </c>
      <c r="E12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v>
      </c>
      <c r="F128" s="91">
        <f>SUMIFS(Tabel_VAS2022[aantal_VAS],Tabel_VAS2022[Zaakcode],Tabel_prc_2022[[#This Row],[Zaakcode]],Tabel_VAS2022[Adviesofprocedure],"prc",Tabel_VAS2022[code_punten_forfait],10)</f>
        <v>0</v>
      </c>
      <c r="G128" s="92">
        <f>SUMIFS(Tabel_VAS2022[aantal_VAS],Tabel_VAS2022[Zaakcode],Tabel_prc_2022[[#This Row],[Zaakcode]],Tabel_VAS2022[Adviesofprocedure],"prc",Tabel_VAS2022[code_punten_forfait],11)</f>
        <v>2</v>
      </c>
      <c r="H128" s="92">
        <f>SUMIFS(Tabel_VAS2022[aantal_VAS],Tabel_VAS2022[Zaakcode],Tabel_prc_2022[[#This Row],[Zaakcode]],Tabel_VAS2022[Adviesofprocedure],"prc",Tabel_VAS2022[code_punten_forfait],13)</f>
        <v>0</v>
      </c>
      <c r="I128" s="92">
        <f>SUMIFS(Tabel_VAS2022[aantal_VAS],Tabel_VAS2022[Zaakcode],Tabel_prc_2022[[#This Row],[Zaakcode]],Tabel_VAS2022[Adviesofprocedure],"prc",Tabel_VAS2022[code_punten_forfait],14)</f>
        <v>0</v>
      </c>
      <c r="J128" s="92">
        <f>SUMIFS(Tabel_VAS2022[aantal_VAS],Tabel_VAS2022[Zaakcode],Tabel_prc_2022[[#This Row],[Zaakcode]],Tabel_VAS2022[Adviesofprocedure],"prc",Tabel_VAS2022[code_punten_forfait],12)</f>
        <v>0</v>
      </c>
      <c r="K128" s="92">
        <f>SUMIFS(Tabel_VAS2022[aantal_VAS],Tabel_VAS2022[Zaakcode],Tabel_prc_2022[[#This Row],[Zaakcode]],Tabel_VAS2022[Adviesofprocedure],"prc",Tabel_VAS2022[code_punten_forfait],15)</f>
        <v>0</v>
      </c>
      <c r="L128" s="92">
        <f>SUMIFS(Tabel_VAS2022[aantal_VAS],Tabel_VAS2022[Zaakcode],Tabel_prc_2022[[#This Row],[Zaakcode]],Tabel_VAS2022[Adviesofprocedure],"prc",Tabel_VAS2022[code_punten_forfait],16)</f>
        <v>0</v>
      </c>
      <c r="M128" s="35">
        <f>IFERROR(INDEX(Tabel_forfaits[forfait vanaf 2022],MATCH(Tabel_prc_2022[[#This Row],[Zaakcode]],Tabel_forfaits[Zaakcode],0)), "n.v.t.")</f>
        <v>2</v>
      </c>
      <c r="N128" s="35">
        <f>IFERROR(INDEX(Tabel_forfaits[forfait VdM II voor berekening],MATCH(Tabel_prc_2022[[#This Row],[Zaakcode]],Tabel_forfaits[Zaakcode],0)), "n.v.t.")</f>
        <v>2</v>
      </c>
      <c r="O128" s="36"/>
      <c r="P12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2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2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28" s="35">
        <f>IF(Tabel_prc_2022[[#This Row],[procedure - forfait VdM II]]="n.v.t.",0,  Tabel_prc_2022[[#This Row],[procedure - aantal 0 punten]] * (Tabel_prc_2022[[#This Row],[procedure - forfait VdM II]] - Tabel_prc_2022[[#This Row],[procedure - forfait VdM I]]))</f>
        <v>0</v>
      </c>
      <c r="T12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v>
      </c>
      <c r="U12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28" s="109">
        <f>Tabel_prc_2022[[#This Row],[procedure - totaal extra punten toev. VdM II t.o.v. huidig]] * tarief_huidig</f>
        <v>0</v>
      </c>
    </row>
    <row r="129" spans="2:22" x14ac:dyDescent="0.3">
      <c r="B129" s="1" t="s">
        <v>124</v>
      </c>
      <c r="C129" s="34" t="s">
        <v>5</v>
      </c>
      <c r="D12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798</v>
      </c>
      <c r="E12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7654.5</v>
      </c>
      <c r="F129" s="91">
        <f>SUMIFS(Tabel_VAS2022[aantal_VAS],Tabel_VAS2022[Zaakcode],Tabel_prc_2022[[#This Row],[Zaakcode]],Tabel_VAS2022[Adviesofprocedure],"prc",Tabel_VAS2022[code_punten_forfait],10)</f>
        <v>0</v>
      </c>
      <c r="G129" s="92">
        <f>SUMIFS(Tabel_VAS2022[aantal_VAS],Tabel_VAS2022[Zaakcode],Tabel_prc_2022[[#This Row],[Zaakcode]],Tabel_VAS2022[Adviesofprocedure],"prc",Tabel_VAS2022[code_punten_forfait],11)</f>
        <v>424</v>
      </c>
      <c r="H129" s="92">
        <f>SUMIFS(Tabel_VAS2022[aantal_VAS],Tabel_VAS2022[Zaakcode],Tabel_prc_2022[[#This Row],[Zaakcode]],Tabel_VAS2022[Adviesofprocedure],"prc",Tabel_VAS2022[code_punten_forfait],13)</f>
        <v>25</v>
      </c>
      <c r="I129" s="92">
        <f>SUMIFS(Tabel_VAS2022[aantal_VAS],Tabel_VAS2022[Zaakcode],Tabel_prc_2022[[#This Row],[Zaakcode]],Tabel_VAS2022[Adviesofprocedure],"prc",Tabel_VAS2022[code_punten_forfait],14)</f>
        <v>3</v>
      </c>
      <c r="J129" s="92">
        <f>SUMIFS(Tabel_VAS2022[aantal_VAS],Tabel_VAS2022[Zaakcode],Tabel_prc_2022[[#This Row],[Zaakcode]],Tabel_VAS2022[Adviesofprocedure],"prc",Tabel_VAS2022[code_punten_forfait],12)</f>
        <v>343</v>
      </c>
      <c r="K129" s="92">
        <f>SUMIFS(Tabel_VAS2022[aantal_VAS],Tabel_VAS2022[Zaakcode],Tabel_prc_2022[[#This Row],[Zaakcode]],Tabel_VAS2022[Adviesofprocedure],"prc",Tabel_VAS2022[code_punten_forfait],15)</f>
        <v>3</v>
      </c>
      <c r="L129" s="92">
        <f>SUMIFS(Tabel_VAS2022[aantal_VAS],Tabel_VAS2022[Zaakcode],Tabel_prc_2022[[#This Row],[Zaakcode]],Tabel_VAS2022[Adviesofprocedure],"prc",Tabel_VAS2022[code_punten_forfait],16)</f>
        <v>0</v>
      </c>
      <c r="M129" s="35">
        <f>IFERROR(INDEX(Tabel_forfaits[forfait vanaf 2022],MATCH(Tabel_prc_2022[[#This Row],[Zaakcode]],Tabel_forfaits[Zaakcode],0)), "n.v.t.")</f>
        <v>12</v>
      </c>
      <c r="N129" s="35">
        <f>IFERROR(INDEX(Tabel_forfaits[forfait VdM II voor berekening],MATCH(Tabel_prc_2022[[#This Row],[Zaakcode]],Tabel_forfaits[Zaakcode],0)), "n.v.t.")</f>
        <v>14</v>
      </c>
      <c r="O129" s="36"/>
      <c r="P12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1534</v>
      </c>
      <c r="Q12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56</v>
      </c>
      <c r="R12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9</v>
      </c>
      <c r="S129" s="35">
        <f>IF(Tabel_prc_2022[[#This Row],[procedure - forfait VdM II]]="n.v.t.",0,  Tabel_prc_2022[[#This Row],[procedure - aantal 0 punten]] * (Tabel_prc_2022[[#This Row],[procedure - forfait VdM II]] - Tabel_prc_2022[[#This Row],[procedure - forfait VdM I]]))</f>
        <v>0</v>
      </c>
      <c r="T12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798</v>
      </c>
      <c r="U12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1599</v>
      </c>
      <c r="V129" s="109">
        <f>Tabel_prc_2022[[#This Row],[procedure - totaal extra punten toev. VdM II t.o.v. huidig]] * tarief_huidig</f>
        <v>244847.67449999999</v>
      </c>
    </row>
    <row r="130" spans="2:22" x14ac:dyDescent="0.3">
      <c r="B130" s="1" t="s">
        <v>125</v>
      </c>
      <c r="C130" s="34" t="s">
        <v>5</v>
      </c>
      <c r="D13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1599</v>
      </c>
      <c r="E13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12353</v>
      </c>
      <c r="F130" s="91">
        <f>SUMIFS(Tabel_VAS2022[aantal_VAS],Tabel_VAS2022[Zaakcode],Tabel_prc_2022[[#This Row],[Zaakcode]],Tabel_VAS2022[Adviesofprocedure],"prc",Tabel_VAS2022[code_punten_forfait],10)</f>
        <v>0</v>
      </c>
      <c r="G130" s="92">
        <f>SUMIFS(Tabel_VAS2022[aantal_VAS],Tabel_VAS2022[Zaakcode],Tabel_prc_2022[[#This Row],[Zaakcode]],Tabel_VAS2022[Adviesofprocedure],"prc",Tabel_VAS2022[code_punten_forfait],11)</f>
        <v>58</v>
      </c>
      <c r="H130" s="92">
        <f>SUMIFS(Tabel_VAS2022[aantal_VAS],Tabel_VAS2022[Zaakcode],Tabel_prc_2022[[#This Row],[Zaakcode]],Tabel_VAS2022[Adviesofprocedure],"prc",Tabel_VAS2022[code_punten_forfait],13)</f>
        <v>200</v>
      </c>
      <c r="I130" s="92">
        <f>SUMIFS(Tabel_VAS2022[aantal_VAS],Tabel_VAS2022[Zaakcode],Tabel_prc_2022[[#This Row],[Zaakcode]],Tabel_VAS2022[Adviesofprocedure],"prc",Tabel_VAS2022[code_punten_forfait],14)</f>
        <v>436</v>
      </c>
      <c r="J130" s="92">
        <f>SUMIFS(Tabel_VAS2022[aantal_VAS],Tabel_VAS2022[Zaakcode],Tabel_prc_2022[[#This Row],[Zaakcode]],Tabel_VAS2022[Adviesofprocedure],"prc",Tabel_VAS2022[code_punten_forfait],12)</f>
        <v>103</v>
      </c>
      <c r="K130" s="92">
        <f>SUMIFS(Tabel_VAS2022[aantal_VAS],Tabel_VAS2022[Zaakcode],Tabel_prc_2022[[#This Row],[Zaakcode]],Tabel_VAS2022[Adviesofprocedure],"prc",Tabel_VAS2022[code_punten_forfait],15)</f>
        <v>363</v>
      </c>
      <c r="L130" s="92">
        <f>SUMIFS(Tabel_VAS2022[aantal_VAS],Tabel_VAS2022[Zaakcode],Tabel_prc_2022[[#This Row],[Zaakcode]],Tabel_VAS2022[Adviesofprocedure],"prc",Tabel_VAS2022[code_punten_forfait],16)</f>
        <v>439</v>
      </c>
      <c r="M130" s="35">
        <f>IFERROR(INDEX(Tabel_forfaits[forfait vanaf 2022],MATCH(Tabel_prc_2022[[#This Row],[Zaakcode]],Tabel_forfaits[Zaakcode],0)), "n.v.t.")</f>
        <v>9</v>
      </c>
      <c r="N130" s="35">
        <f>IFERROR(INDEX(Tabel_forfaits[forfait VdM II voor berekening],MATCH(Tabel_prc_2022[[#This Row],[Zaakcode]],Tabel_forfaits[Zaakcode],0)), "n.v.t.")</f>
        <v>11</v>
      </c>
      <c r="O130" s="36"/>
      <c r="P13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322</v>
      </c>
      <c r="Q13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1126</v>
      </c>
      <c r="R13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2625</v>
      </c>
      <c r="S130" s="35">
        <f>IF(Tabel_prc_2022[[#This Row],[procedure - forfait VdM II]]="n.v.t.",0,  Tabel_prc_2022[[#This Row],[procedure - aantal 0 punten]] * (Tabel_prc_2022[[#This Row],[procedure - forfait VdM II]] - Tabel_prc_2022[[#This Row],[procedure - forfait VdM I]]))</f>
        <v>0</v>
      </c>
      <c r="T13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1599</v>
      </c>
      <c r="U13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4073</v>
      </c>
      <c r="V130" s="109">
        <f>Tabel_prc_2022[[#This Row],[procedure - totaal extra punten toev. VdM II t.o.v. huidig]] * tarief_huidig</f>
        <v>623680.16149999993</v>
      </c>
    </row>
    <row r="131" spans="2:22" x14ac:dyDescent="0.3">
      <c r="B131" s="1" t="s">
        <v>126</v>
      </c>
      <c r="C131" s="34" t="s">
        <v>5</v>
      </c>
      <c r="D13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62</v>
      </c>
      <c r="E13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537.5</v>
      </c>
      <c r="F131" s="91">
        <f>SUMIFS(Tabel_VAS2022[aantal_VAS],Tabel_VAS2022[Zaakcode],Tabel_prc_2022[[#This Row],[Zaakcode]],Tabel_VAS2022[Adviesofprocedure],"prc",Tabel_VAS2022[code_punten_forfait],10)</f>
        <v>0</v>
      </c>
      <c r="G131" s="92">
        <f>SUMIFS(Tabel_VAS2022[aantal_VAS],Tabel_VAS2022[Zaakcode],Tabel_prc_2022[[#This Row],[Zaakcode]],Tabel_VAS2022[Adviesofprocedure],"prc",Tabel_VAS2022[code_punten_forfait],11)</f>
        <v>16</v>
      </c>
      <c r="H131" s="92">
        <f>SUMIFS(Tabel_VAS2022[aantal_VAS],Tabel_VAS2022[Zaakcode],Tabel_prc_2022[[#This Row],[Zaakcode]],Tabel_VAS2022[Adviesofprocedure],"prc",Tabel_VAS2022[code_punten_forfait],13)</f>
        <v>11</v>
      </c>
      <c r="I131" s="92">
        <f>SUMIFS(Tabel_VAS2022[aantal_VAS],Tabel_VAS2022[Zaakcode],Tabel_prc_2022[[#This Row],[Zaakcode]],Tabel_VAS2022[Adviesofprocedure],"prc",Tabel_VAS2022[code_punten_forfait],14)</f>
        <v>2</v>
      </c>
      <c r="J131" s="92">
        <f>SUMIFS(Tabel_VAS2022[aantal_VAS],Tabel_VAS2022[Zaakcode],Tabel_prc_2022[[#This Row],[Zaakcode]],Tabel_VAS2022[Adviesofprocedure],"prc",Tabel_VAS2022[code_punten_forfait],12)</f>
        <v>20</v>
      </c>
      <c r="K131" s="92">
        <f>SUMIFS(Tabel_VAS2022[aantal_VAS],Tabel_VAS2022[Zaakcode],Tabel_prc_2022[[#This Row],[Zaakcode]],Tabel_VAS2022[Adviesofprocedure],"prc",Tabel_VAS2022[code_punten_forfait],15)</f>
        <v>6</v>
      </c>
      <c r="L131" s="92">
        <f>SUMIFS(Tabel_VAS2022[aantal_VAS],Tabel_VAS2022[Zaakcode],Tabel_prc_2022[[#This Row],[Zaakcode]],Tabel_VAS2022[Adviesofprocedure],"prc",Tabel_VAS2022[code_punten_forfait],16)</f>
        <v>7</v>
      </c>
      <c r="M131" s="35">
        <f>IFERROR(INDEX(Tabel_forfaits[forfait vanaf 2022],MATCH(Tabel_prc_2022[[#This Row],[Zaakcode]],Tabel_forfaits[Zaakcode],0)), "n.v.t.")</f>
        <v>10</v>
      </c>
      <c r="N131" s="35">
        <f>IFERROR(INDEX(Tabel_forfaits[forfait VdM II voor berekening],MATCH(Tabel_prc_2022[[#This Row],[Zaakcode]],Tabel_forfaits[Zaakcode],0)), "n.v.t.")</f>
        <v>10</v>
      </c>
      <c r="O131" s="36"/>
      <c r="P13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1" s="35">
        <f>IF(Tabel_prc_2022[[#This Row],[procedure - forfait VdM II]]="n.v.t.",0,  Tabel_prc_2022[[#This Row],[procedure - aantal 0 punten]] * (Tabel_prc_2022[[#This Row],[procedure - forfait VdM II]] - Tabel_prc_2022[[#This Row],[procedure - forfait VdM I]]))</f>
        <v>0</v>
      </c>
      <c r="T13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62</v>
      </c>
      <c r="U13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1" s="109">
        <f>Tabel_prc_2022[[#This Row],[procedure - totaal extra punten toev. VdM II t.o.v. huidig]] * tarief_huidig</f>
        <v>0</v>
      </c>
    </row>
    <row r="132" spans="2:22" x14ac:dyDescent="0.3">
      <c r="B132" s="1" t="s">
        <v>127</v>
      </c>
      <c r="C132" s="34" t="s">
        <v>5</v>
      </c>
      <c r="D13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925</v>
      </c>
      <c r="E13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7460.6</v>
      </c>
      <c r="F132" s="91">
        <f>SUMIFS(Tabel_VAS2022[aantal_VAS],Tabel_VAS2022[Zaakcode],Tabel_prc_2022[[#This Row],[Zaakcode]],Tabel_VAS2022[Adviesofprocedure],"prc",Tabel_VAS2022[code_punten_forfait],10)</f>
        <v>0</v>
      </c>
      <c r="G132" s="92">
        <f>SUMIFS(Tabel_VAS2022[aantal_VAS],Tabel_VAS2022[Zaakcode],Tabel_prc_2022[[#This Row],[Zaakcode]],Tabel_VAS2022[Adviesofprocedure],"prc",Tabel_VAS2022[code_punten_forfait],11)</f>
        <v>280</v>
      </c>
      <c r="H132" s="92">
        <f>SUMIFS(Tabel_VAS2022[aantal_VAS],Tabel_VAS2022[Zaakcode],Tabel_prc_2022[[#This Row],[Zaakcode]],Tabel_VAS2022[Adviesofprocedure],"prc",Tabel_VAS2022[code_punten_forfait],13)</f>
        <v>26</v>
      </c>
      <c r="I132" s="92">
        <f>SUMIFS(Tabel_VAS2022[aantal_VAS],Tabel_VAS2022[Zaakcode],Tabel_prc_2022[[#This Row],[Zaakcode]],Tabel_VAS2022[Adviesofprocedure],"prc",Tabel_VAS2022[code_punten_forfait],14)</f>
        <v>8</v>
      </c>
      <c r="J132" s="92">
        <f>SUMIFS(Tabel_VAS2022[aantal_VAS],Tabel_VAS2022[Zaakcode],Tabel_prc_2022[[#This Row],[Zaakcode]],Tabel_VAS2022[Adviesofprocedure],"prc",Tabel_VAS2022[code_punten_forfait],12)</f>
        <v>565</v>
      </c>
      <c r="K132" s="92">
        <f>SUMIFS(Tabel_VAS2022[aantal_VAS],Tabel_VAS2022[Zaakcode],Tabel_prc_2022[[#This Row],[Zaakcode]],Tabel_VAS2022[Adviesofprocedure],"prc",Tabel_VAS2022[code_punten_forfait],15)</f>
        <v>23</v>
      </c>
      <c r="L132" s="92">
        <f>SUMIFS(Tabel_VAS2022[aantal_VAS],Tabel_VAS2022[Zaakcode],Tabel_prc_2022[[#This Row],[Zaakcode]],Tabel_VAS2022[Adviesofprocedure],"prc",Tabel_VAS2022[code_punten_forfait],16)</f>
        <v>23</v>
      </c>
      <c r="M132" s="35">
        <f>IFERROR(INDEX(Tabel_forfaits[forfait vanaf 2022],MATCH(Tabel_prc_2022[[#This Row],[Zaakcode]],Tabel_forfaits[Zaakcode],0)), "n.v.t.")</f>
        <v>9</v>
      </c>
      <c r="N132" s="35">
        <f>IFERROR(INDEX(Tabel_forfaits[forfait VdM II voor berekening],MATCH(Tabel_prc_2022[[#This Row],[Zaakcode]],Tabel_forfaits[Zaakcode],0)), "n.v.t.")</f>
        <v>9</v>
      </c>
      <c r="O132" s="36"/>
      <c r="P13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2" s="35">
        <f>IF(Tabel_prc_2022[[#This Row],[procedure - forfait VdM II]]="n.v.t.",0,  Tabel_prc_2022[[#This Row],[procedure - aantal 0 punten]] * (Tabel_prc_2022[[#This Row],[procedure - forfait VdM II]] - Tabel_prc_2022[[#This Row],[procedure - forfait VdM I]]))</f>
        <v>0</v>
      </c>
      <c r="T13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925</v>
      </c>
      <c r="U13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2" s="109">
        <f>Tabel_prc_2022[[#This Row],[procedure - totaal extra punten toev. VdM II t.o.v. huidig]] * tarief_huidig</f>
        <v>0</v>
      </c>
    </row>
    <row r="133" spans="2:22" x14ac:dyDescent="0.3">
      <c r="B133" s="1" t="s">
        <v>128</v>
      </c>
      <c r="C133" s="34" t="s">
        <v>5</v>
      </c>
      <c r="D13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2312</v>
      </c>
      <c r="E13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9600.5</v>
      </c>
      <c r="F133" s="91">
        <f>SUMIFS(Tabel_VAS2022[aantal_VAS],Tabel_VAS2022[Zaakcode],Tabel_prc_2022[[#This Row],[Zaakcode]],Tabel_VAS2022[Adviesofprocedure],"prc",Tabel_VAS2022[code_punten_forfait],10)</f>
        <v>0</v>
      </c>
      <c r="G133" s="91">
        <f>SUMIFS(Tabel_VAS2022[aantal_VAS],Tabel_VAS2022[Zaakcode],Tabel_prc_2022[[#This Row],[Zaakcode]],Tabel_VAS2022[Adviesofprocedure],"prc",Tabel_VAS2022[code_punten_forfait],11)</f>
        <v>1183</v>
      </c>
      <c r="H133" s="92">
        <f>SUMIFS(Tabel_VAS2022[aantal_VAS],Tabel_VAS2022[Zaakcode],Tabel_prc_2022[[#This Row],[Zaakcode]],Tabel_VAS2022[Adviesofprocedure],"prc",Tabel_VAS2022[code_punten_forfait],13)</f>
        <v>0</v>
      </c>
      <c r="I133" s="92">
        <f>SUMIFS(Tabel_VAS2022[aantal_VAS],Tabel_VAS2022[Zaakcode],Tabel_prc_2022[[#This Row],[Zaakcode]],Tabel_VAS2022[Adviesofprocedure],"prc",Tabel_VAS2022[code_punten_forfait],14)</f>
        <v>37</v>
      </c>
      <c r="J133" s="92">
        <f>SUMIFS(Tabel_VAS2022[aantal_VAS],Tabel_VAS2022[Zaakcode],Tabel_prc_2022[[#This Row],[Zaakcode]],Tabel_VAS2022[Adviesofprocedure],"prc",Tabel_VAS2022[code_punten_forfait],12)</f>
        <v>987</v>
      </c>
      <c r="K133" s="92">
        <f>SUMIFS(Tabel_VAS2022[aantal_VAS],Tabel_VAS2022[Zaakcode],Tabel_prc_2022[[#This Row],[Zaakcode]],Tabel_VAS2022[Adviesofprocedure],"prc",Tabel_VAS2022[code_punten_forfait],15)</f>
        <v>7</v>
      </c>
      <c r="L133" s="92">
        <f>SUMIFS(Tabel_VAS2022[aantal_VAS],Tabel_VAS2022[Zaakcode],Tabel_prc_2022[[#This Row],[Zaakcode]],Tabel_VAS2022[Adviesofprocedure],"prc",Tabel_VAS2022[code_punten_forfait],16)</f>
        <v>98</v>
      </c>
      <c r="M133" s="35">
        <f>IFERROR(INDEX(Tabel_forfaits[forfait vanaf 2022],MATCH(Tabel_prc_2022[[#This Row],[Zaakcode]],Tabel_forfaits[Zaakcode],0)), "n.v.t.")</f>
        <v>4</v>
      </c>
      <c r="N133" s="35" t="str">
        <f>IFERROR(INDEX(Tabel_forfaits[forfait VdM II voor berekening],MATCH(Tabel_prc_2022[[#This Row],[Zaakcode]],Tabel_forfaits[Zaakcode],0)), "n.v.t.")</f>
        <v>n.v.t.</v>
      </c>
      <c r="O133" s="36"/>
      <c r="P13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3" s="35">
        <f>IF(Tabel_prc_2022[[#This Row],[procedure - forfait VdM II]]="n.v.t.",0,  Tabel_prc_2022[[#This Row],[procedure - aantal 0 punten]] * (Tabel_prc_2022[[#This Row],[procedure - forfait VdM II]] - Tabel_prc_2022[[#This Row],[procedure - forfait VdM I]]))</f>
        <v>0</v>
      </c>
      <c r="T13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2312</v>
      </c>
      <c r="U13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3" s="109">
        <f>Tabel_prc_2022[[#This Row],[procedure - totaal extra punten toev. VdM II t.o.v. huidig]] * tarief_huidig</f>
        <v>0</v>
      </c>
    </row>
    <row r="134" spans="2:22" x14ac:dyDescent="0.3">
      <c r="B134" s="1" t="s">
        <v>129</v>
      </c>
      <c r="C134" s="34" t="s">
        <v>5</v>
      </c>
      <c r="D13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15217</v>
      </c>
      <c r="E13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60887.5</v>
      </c>
      <c r="F134" s="91">
        <f>SUMIFS(Tabel_VAS2022[aantal_VAS],Tabel_VAS2022[Zaakcode],Tabel_prc_2022[[#This Row],[Zaakcode]],Tabel_VAS2022[Adviesofprocedure],"prc",Tabel_VAS2022[code_punten_forfait],10)</f>
        <v>0</v>
      </c>
      <c r="G134" s="91">
        <f>SUMIFS(Tabel_VAS2022[aantal_VAS],Tabel_VAS2022[Zaakcode],Tabel_prc_2022[[#This Row],[Zaakcode]],Tabel_VAS2022[Adviesofprocedure],"prc",Tabel_VAS2022[code_punten_forfait],11)</f>
        <v>2417</v>
      </c>
      <c r="H134" s="92">
        <f>SUMIFS(Tabel_VAS2022[aantal_VAS],Tabel_VAS2022[Zaakcode],Tabel_prc_2022[[#This Row],[Zaakcode]],Tabel_VAS2022[Adviesofprocedure],"prc",Tabel_VAS2022[code_punten_forfait],13)</f>
        <v>0</v>
      </c>
      <c r="I134" s="92">
        <f>SUMIFS(Tabel_VAS2022[aantal_VAS],Tabel_VAS2022[Zaakcode],Tabel_prc_2022[[#This Row],[Zaakcode]],Tabel_VAS2022[Adviesofprocedure],"prc",Tabel_VAS2022[code_punten_forfait],14)</f>
        <v>4</v>
      </c>
      <c r="J134" s="91">
        <f>SUMIFS(Tabel_VAS2022[aantal_VAS],Tabel_VAS2022[Zaakcode],Tabel_prc_2022[[#This Row],[Zaakcode]],Tabel_VAS2022[Adviesofprocedure],"prc",Tabel_VAS2022[code_punten_forfait],12)</f>
        <v>12781</v>
      </c>
      <c r="K134" s="92">
        <f>SUMIFS(Tabel_VAS2022[aantal_VAS],Tabel_VAS2022[Zaakcode],Tabel_prc_2022[[#This Row],[Zaakcode]],Tabel_VAS2022[Adviesofprocedure],"prc",Tabel_VAS2022[code_punten_forfait],15)</f>
        <v>6</v>
      </c>
      <c r="L134" s="92">
        <f>SUMIFS(Tabel_VAS2022[aantal_VAS],Tabel_VAS2022[Zaakcode],Tabel_prc_2022[[#This Row],[Zaakcode]],Tabel_VAS2022[Adviesofprocedure],"prc",Tabel_VAS2022[code_punten_forfait],16)</f>
        <v>9</v>
      </c>
      <c r="M134" s="35">
        <f>IFERROR(INDEX(Tabel_forfaits[forfait vanaf 2022],MATCH(Tabel_prc_2022[[#This Row],[Zaakcode]],Tabel_forfaits[Zaakcode],0)), "n.v.t.")</f>
        <v>4</v>
      </c>
      <c r="N134" s="35">
        <f>IFERROR(INDEX(Tabel_forfaits[forfait VdM II voor berekening],MATCH(Tabel_prc_2022[[#This Row],[Zaakcode]],Tabel_forfaits[Zaakcode],0)), "n.v.t.")</f>
        <v>4</v>
      </c>
      <c r="O134" s="36"/>
      <c r="P13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4" s="35">
        <f>IF(Tabel_prc_2022[[#This Row],[procedure - forfait VdM II]]="n.v.t.",0,  Tabel_prc_2022[[#This Row],[procedure - aantal 0 punten]] * (Tabel_prc_2022[[#This Row],[procedure - forfait VdM II]] - Tabel_prc_2022[[#This Row],[procedure - forfait VdM I]]))</f>
        <v>0</v>
      </c>
      <c r="T13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15217</v>
      </c>
      <c r="U13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4" s="109">
        <f>Tabel_prc_2022[[#This Row],[procedure - totaal extra punten toev. VdM II t.o.v. huidig]] * tarief_huidig</f>
        <v>0</v>
      </c>
    </row>
    <row r="135" spans="2:22" x14ac:dyDescent="0.3">
      <c r="B135" s="1" t="s">
        <v>130</v>
      </c>
      <c r="C135" s="34" t="s">
        <v>5</v>
      </c>
      <c r="D13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9184</v>
      </c>
      <c r="E13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45930</v>
      </c>
      <c r="F135" s="91">
        <f>SUMIFS(Tabel_VAS2022[aantal_VAS],Tabel_VAS2022[Zaakcode],Tabel_prc_2022[[#This Row],[Zaakcode]],Tabel_VAS2022[Adviesofprocedure],"prc",Tabel_VAS2022[code_punten_forfait],10)</f>
        <v>0</v>
      </c>
      <c r="G135" s="91">
        <f>SUMIFS(Tabel_VAS2022[aantal_VAS],Tabel_VAS2022[Zaakcode],Tabel_prc_2022[[#This Row],[Zaakcode]],Tabel_VAS2022[Adviesofprocedure],"prc",Tabel_VAS2022[code_punten_forfait],11)</f>
        <v>2042</v>
      </c>
      <c r="H135" s="92">
        <f>SUMIFS(Tabel_VAS2022[aantal_VAS],Tabel_VAS2022[Zaakcode],Tabel_prc_2022[[#This Row],[Zaakcode]],Tabel_VAS2022[Adviesofprocedure],"prc",Tabel_VAS2022[code_punten_forfait],13)</f>
        <v>0</v>
      </c>
      <c r="I135" s="92">
        <f>SUMIFS(Tabel_VAS2022[aantal_VAS],Tabel_VAS2022[Zaakcode],Tabel_prc_2022[[#This Row],[Zaakcode]],Tabel_VAS2022[Adviesofprocedure],"prc",Tabel_VAS2022[code_punten_forfait],14)</f>
        <v>0</v>
      </c>
      <c r="J135" s="91">
        <f>SUMIFS(Tabel_VAS2022[aantal_VAS],Tabel_VAS2022[Zaakcode],Tabel_prc_2022[[#This Row],[Zaakcode]],Tabel_VAS2022[Adviesofprocedure],"prc",Tabel_VAS2022[code_punten_forfait],12)</f>
        <v>7140</v>
      </c>
      <c r="K135" s="92">
        <f>SUMIFS(Tabel_VAS2022[aantal_VAS],Tabel_VAS2022[Zaakcode],Tabel_prc_2022[[#This Row],[Zaakcode]],Tabel_VAS2022[Adviesofprocedure],"prc",Tabel_VAS2022[code_punten_forfait],15)</f>
        <v>0</v>
      </c>
      <c r="L135" s="92">
        <f>SUMIFS(Tabel_VAS2022[aantal_VAS],Tabel_VAS2022[Zaakcode],Tabel_prc_2022[[#This Row],[Zaakcode]],Tabel_VAS2022[Adviesofprocedure],"prc",Tabel_VAS2022[code_punten_forfait],16)</f>
        <v>2</v>
      </c>
      <c r="M135" s="35">
        <f>IFERROR(INDEX(Tabel_forfaits[forfait vanaf 2022],MATCH(Tabel_prc_2022[[#This Row],[Zaakcode]],Tabel_forfaits[Zaakcode],0)), "n.v.t.")</f>
        <v>5</v>
      </c>
      <c r="N135" s="35">
        <f>IFERROR(INDEX(Tabel_forfaits[forfait VdM II voor berekening],MATCH(Tabel_prc_2022[[#This Row],[Zaakcode]],Tabel_forfaits[Zaakcode],0)), "n.v.t.")</f>
        <v>5</v>
      </c>
      <c r="O135" s="36"/>
      <c r="P13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5" s="35">
        <f>IF(Tabel_prc_2022[[#This Row],[procedure - forfait VdM II]]="n.v.t.",0,  Tabel_prc_2022[[#This Row],[procedure - aantal 0 punten]] * (Tabel_prc_2022[[#This Row],[procedure - forfait VdM II]] - Tabel_prc_2022[[#This Row],[procedure - forfait VdM I]]))</f>
        <v>0</v>
      </c>
      <c r="T13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9184</v>
      </c>
      <c r="U13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5" s="109">
        <f>Tabel_prc_2022[[#This Row],[procedure - totaal extra punten toev. VdM II t.o.v. huidig]] * tarief_huidig</f>
        <v>0</v>
      </c>
    </row>
    <row r="136" spans="2:22" x14ac:dyDescent="0.3">
      <c r="B136" s="1" t="s">
        <v>131</v>
      </c>
      <c r="C136" s="34" t="s">
        <v>5</v>
      </c>
      <c r="D13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3068</v>
      </c>
      <c r="E13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18251.5</v>
      </c>
      <c r="F136" s="91">
        <f>SUMIFS(Tabel_VAS2022[aantal_VAS],Tabel_VAS2022[Zaakcode],Tabel_prc_2022[[#This Row],[Zaakcode]],Tabel_VAS2022[Adviesofprocedure],"prc",Tabel_VAS2022[code_punten_forfait],10)</f>
        <v>0</v>
      </c>
      <c r="G136" s="92">
        <f>SUMIFS(Tabel_VAS2022[aantal_VAS],Tabel_VAS2022[Zaakcode],Tabel_prc_2022[[#This Row],[Zaakcode]],Tabel_VAS2022[Adviesofprocedure],"prc",Tabel_VAS2022[code_punten_forfait],11)</f>
        <v>750</v>
      </c>
      <c r="H136" s="92">
        <f>SUMIFS(Tabel_VAS2022[aantal_VAS],Tabel_VAS2022[Zaakcode],Tabel_prc_2022[[#This Row],[Zaakcode]],Tabel_VAS2022[Adviesofprocedure],"prc",Tabel_VAS2022[code_punten_forfait],13)</f>
        <v>57</v>
      </c>
      <c r="I136" s="92">
        <f>SUMIFS(Tabel_VAS2022[aantal_VAS],Tabel_VAS2022[Zaakcode],Tabel_prc_2022[[#This Row],[Zaakcode]],Tabel_VAS2022[Adviesofprocedure],"prc",Tabel_VAS2022[code_punten_forfait],14)</f>
        <v>1</v>
      </c>
      <c r="J136" s="91">
        <f>SUMIFS(Tabel_VAS2022[aantal_VAS],Tabel_VAS2022[Zaakcode],Tabel_prc_2022[[#This Row],[Zaakcode]],Tabel_VAS2022[Adviesofprocedure],"prc",Tabel_VAS2022[code_punten_forfait],12)</f>
        <v>2152</v>
      </c>
      <c r="K136" s="92">
        <f>SUMIFS(Tabel_VAS2022[aantal_VAS],Tabel_VAS2022[Zaakcode],Tabel_prc_2022[[#This Row],[Zaakcode]],Tabel_VAS2022[Adviesofprocedure],"prc",Tabel_VAS2022[code_punten_forfait],15)</f>
        <v>107</v>
      </c>
      <c r="L136" s="92">
        <f>SUMIFS(Tabel_VAS2022[aantal_VAS],Tabel_VAS2022[Zaakcode],Tabel_prc_2022[[#This Row],[Zaakcode]],Tabel_VAS2022[Adviesofprocedure],"prc",Tabel_VAS2022[code_punten_forfait],16)</f>
        <v>1</v>
      </c>
      <c r="M136" s="35">
        <f>IFERROR(INDEX(Tabel_forfaits[forfait vanaf 2022],MATCH(Tabel_prc_2022[[#This Row],[Zaakcode]],Tabel_forfaits[Zaakcode],0)), "n.v.t.")</f>
        <v>6</v>
      </c>
      <c r="N136" s="35">
        <f>IFERROR(INDEX(Tabel_forfaits[forfait VdM II voor berekening],MATCH(Tabel_prc_2022[[#This Row],[Zaakcode]],Tabel_forfaits[Zaakcode],0)), "n.v.t.")</f>
        <v>5</v>
      </c>
      <c r="O136" s="36"/>
      <c r="P13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-2902</v>
      </c>
      <c r="Q13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-164</v>
      </c>
      <c r="R13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-3</v>
      </c>
      <c r="S136" s="35">
        <f>IF(Tabel_prc_2022[[#This Row],[procedure - forfait VdM II]]="n.v.t.",0,  Tabel_prc_2022[[#This Row],[procedure - aantal 0 punten]] * (Tabel_prc_2022[[#This Row],[procedure - forfait VdM II]] - Tabel_prc_2022[[#This Row],[procedure - forfait VdM I]]))</f>
        <v>0</v>
      </c>
      <c r="T13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3068</v>
      </c>
      <c r="U13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-3069</v>
      </c>
      <c r="V136" s="109">
        <f>Tabel_prc_2022[[#This Row],[procedure - totaal extra punten toev. VdM II t.o.v. huidig]] * tarief_huidig</f>
        <v>-469942.15949999995</v>
      </c>
    </row>
    <row r="137" spans="2:22" x14ac:dyDescent="0.3">
      <c r="B137" s="1" t="s">
        <v>132</v>
      </c>
      <c r="C137" s="34" t="s">
        <v>5</v>
      </c>
      <c r="D13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1788</v>
      </c>
      <c r="E13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16263</v>
      </c>
      <c r="F137" s="91">
        <f>SUMIFS(Tabel_VAS2022[aantal_VAS],Tabel_VAS2022[Zaakcode],Tabel_prc_2022[[#This Row],[Zaakcode]],Tabel_VAS2022[Adviesofprocedure],"prc",Tabel_VAS2022[code_punten_forfait],10)</f>
        <v>0</v>
      </c>
      <c r="G137" s="92">
        <f>SUMIFS(Tabel_VAS2022[aantal_VAS],Tabel_VAS2022[Zaakcode],Tabel_prc_2022[[#This Row],[Zaakcode]],Tabel_VAS2022[Adviesofprocedure],"prc",Tabel_VAS2022[code_punten_forfait],11)</f>
        <v>405</v>
      </c>
      <c r="H137" s="92">
        <f>SUMIFS(Tabel_VAS2022[aantal_VAS],Tabel_VAS2022[Zaakcode],Tabel_prc_2022[[#This Row],[Zaakcode]],Tabel_VAS2022[Adviesofprocedure],"prc",Tabel_VAS2022[code_punten_forfait],13)</f>
        <v>18</v>
      </c>
      <c r="I137" s="92">
        <f>SUMIFS(Tabel_VAS2022[aantal_VAS],Tabel_VAS2022[Zaakcode],Tabel_prc_2022[[#This Row],[Zaakcode]],Tabel_VAS2022[Adviesofprocedure],"prc",Tabel_VAS2022[code_punten_forfait],14)</f>
        <v>1</v>
      </c>
      <c r="J137" s="91">
        <f>SUMIFS(Tabel_VAS2022[aantal_VAS],Tabel_VAS2022[Zaakcode],Tabel_prc_2022[[#This Row],[Zaakcode]],Tabel_VAS2022[Adviesofprocedure],"prc",Tabel_VAS2022[code_punten_forfait],12)</f>
        <v>1326</v>
      </c>
      <c r="K137" s="92">
        <f>SUMIFS(Tabel_VAS2022[aantal_VAS],Tabel_VAS2022[Zaakcode],Tabel_prc_2022[[#This Row],[Zaakcode]],Tabel_VAS2022[Adviesofprocedure],"prc",Tabel_VAS2022[code_punten_forfait],15)</f>
        <v>38</v>
      </c>
      <c r="L137" s="92">
        <f>SUMIFS(Tabel_VAS2022[aantal_VAS],Tabel_VAS2022[Zaakcode],Tabel_prc_2022[[#This Row],[Zaakcode]],Tabel_VAS2022[Adviesofprocedure],"prc",Tabel_VAS2022[code_punten_forfait],16)</f>
        <v>0</v>
      </c>
      <c r="M137" s="35">
        <f>IFERROR(INDEX(Tabel_forfaits[forfait vanaf 2022],MATCH(Tabel_prc_2022[[#This Row],[Zaakcode]],Tabel_forfaits[Zaakcode],0)), "n.v.t.")</f>
        <v>10</v>
      </c>
      <c r="N137" s="35">
        <f>IFERROR(INDEX(Tabel_forfaits[forfait VdM II voor berekening],MATCH(Tabel_prc_2022[[#This Row],[Zaakcode]],Tabel_forfaits[Zaakcode],0)), "n.v.t.")</f>
        <v>11</v>
      </c>
      <c r="O137" s="36"/>
      <c r="P13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1731</v>
      </c>
      <c r="Q13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56</v>
      </c>
      <c r="R13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1.5</v>
      </c>
      <c r="S137" s="35">
        <f>IF(Tabel_prc_2022[[#This Row],[procedure - forfait VdM II]]="n.v.t.",0,  Tabel_prc_2022[[#This Row],[procedure - aantal 0 punten]] * (Tabel_prc_2022[[#This Row],[procedure - forfait VdM II]] - Tabel_prc_2022[[#This Row],[procedure - forfait VdM I]]))</f>
        <v>0</v>
      </c>
      <c r="T13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1788</v>
      </c>
      <c r="U13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1788.5</v>
      </c>
      <c r="V137" s="109">
        <f>Tabel_prc_2022[[#This Row],[procedure - totaal extra punten toev. VdM II t.o.v. huidig]] * tarief_huidig</f>
        <v>273864.95674999995</v>
      </c>
    </row>
    <row r="138" spans="2:22" x14ac:dyDescent="0.3">
      <c r="B138" s="1" t="s">
        <v>133</v>
      </c>
      <c r="C138" s="34" t="s">
        <v>5</v>
      </c>
      <c r="D13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4791</v>
      </c>
      <c r="E13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17184.2</v>
      </c>
      <c r="F138" s="91">
        <f>SUMIFS(Tabel_VAS2022[aantal_VAS],Tabel_VAS2022[Zaakcode],Tabel_prc_2022[[#This Row],[Zaakcode]],Tabel_VAS2022[Adviesofprocedure],"prc",Tabel_VAS2022[code_punten_forfait],10)</f>
        <v>0</v>
      </c>
      <c r="G138" s="91">
        <f>SUMIFS(Tabel_VAS2022[aantal_VAS],Tabel_VAS2022[Zaakcode],Tabel_prc_2022[[#This Row],[Zaakcode]],Tabel_VAS2022[Adviesofprocedure],"prc",Tabel_VAS2022[code_punten_forfait],11)</f>
        <v>1948</v>
      </c>
      <c r="H138" s="92">
        <f>SUMIFS(Tabel_VAS2022[aantal_VAS],Tabel_VAS2022[Zaakcode],Tabel_prc_2022[[#This Row],[Zaakcode]],Tabel_VAS2022[Adviesofprocedure],"prc",Tabel_VAS2022[code_punten_forfait],13)</f>
        <v>27</v>
      </c>
      <c r="I138" s="92">
        <f>SUMIFS(Tabel_VAS2022[aantal_VAS],Tabel_VAS2022[Zaakcode],Tabel_prc_2022[[#This Row],[Zaakcode]],Tabel_VAS2022[Adviesofprocedure],"prc",Tabel_VAS2022[code_punten_forfait],14)</f>
        <v>20</v>
      </c>
      <c r="J138" s="91">
        <f>SUMIFS(Tabel_VAS2022[aantal_VAS],Tabel_VAS2022[Zaakcode],Tabel_prc_2022[[#This Row],[Zaakcode]],Tabel_VAS2022[Adviesofprocedure],"prc",Tabel_VAS2022[code_punten_forfait],12)</f>
        <v>2739</v>
      </c>
      <c r="K138" s="92">
        <f>SUMIFS(Tabel_VAS2022[aantal_VAS],Tabel_VAS2022[Zaakcode],Tabel_prc_2022[[#This Row],[Zaakcode]],Tabel_VAS2022[Adviesofprocedure],"prc",Tabel_VAS2022[code_punten_forfait],15)</f>
        <v>44</v>
      </c>
      <c r="L138" s="92">
        <f>SUMIFS(Tabel_VAS2022[aantal_VAS],Tabel_VAS2022[Zaakcode],Tabel_prc_2022[[#This Row],[Zaakcode]],Tabel_VAS2022[Adviesofprocedure],"prc",Tabel_VAS2022[code_punten_forfait],16)</f>
        <v>13</v>
      </c>
      <c r="M138" s="35">
        <f>IFERROR(INDEX(Tabel_forfaits[forfait vanaf 2022],MATCH(Tabel_prc_2022[[#This Row],[Zaakcode]],Tabel_forfaits[Zaakcode],0)), "n.v.t.")</f>
        <v>4</v>
      </c>
      <c r="N138" s="35">
        <f>IFERROR(INDEX(Tabel_forfaits[forfait VdM II voor berekening],MATCH(Tabel_prc_2022[[#This Row],[Zaakcode]],Tabel_forfaits[Zaakcode],0)), "n.v.t.")</f>
        <v>4</v>
      </c>
      <c r="O138" s="36"/>
      <c r="P13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8" s="35">
        <f>IF(Tabel_prc_2022[[#This Row],[procedure - forfait VdM II]]="n.v.t.",0,  Tabel_prc_2022[[#This Row],[procedure - aantal 0 punten]] * (Tabel_prc_2022[[#This Row],[procedure - forfait VdM II]] - Tabel_prc_2022[[#This Row],[procedure - forfait VdM I]]))</f>
        <v>0</v>
      </c>
      <c r="T13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4791</v>
      </c>
      <c r="U13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8" s="109">
        <f>Tabel_prc_2022[[#This Row],[procedure - totaal extra punten toev. VdM II t.o.v. huidig]] * tarief_huidig</f>
        <v>0</v>
      </c>
    </row>
    <row r="139" spans="2:22" x14ac:dyDescent="0.3">
      <c r="B139" s="1" t="s">
        <v>134</v>
      </c>
      <c r="C139" s="34" t="s">
        <v>5</v>
      </c>
      <c r="D13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1958</v>
      </c>
      <c r="E13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9438</v>
      </c>
      <c r="F139" s="91">
        <f>SUMIFS(Tabel_VAS2022[aantal_VAS],Tabel_VAS2022[Zaakcode],Tabel_prc_2022[[#This Row],[Zaakcode]],Tabel_VAS2022[Adviesofprocedure],"prc",Tabel_VAS2022[code_punten_forfait],10)</f>
        <v>0</v>
      </c>
      <c r="G139" s="92">
        <f>SUMIFS(Tabel_VAS2022[aantal_VAS],Tabel_VAS2022[Zaakcode],Tabel_prc_2022[[#This Row],[Zaakcode]],Tabel_VAS2022[Adviesofprocedure],"prc",Tabel_VAS2022[code_punten_forfait],11)</f>
        <v>363</v>
      </c>
      <c r="H139" s="92">
        <f>SUMIFS(Tabel_VAS2022[aantal_VAS],Tabel_VAS2022[Zaakcode],Tabel_prc_2022[[#This Row],[Zaakcode]],Tabel_VAS2022[Adviesofprocedure],"prc",Tabel_VAS2022[code_punten_forfait],13)</f>
        <v>0</v>
      </c>
      <c r="I139" s="92">
        <f>SUMIFS(Tabel_VAS2022[aantal_VAS],Tabel_VAS2022[Zaakcode],Tabel_prc_2022[[#This Row],[Zaakcode]],Tabel_VAS2022[Adviesofprocedure],"prc",Tabel_VAS2022[code_punten_forfait],14)</f>
        <v>3</v>
      </c>
      <c r="J139" s="91">
        <f>SUMIFS(Tabel_VAS2022[aantal_VAS],Tabel_VAS2022[Zaakcode],Tabel_prc_2022[[#This Row],[Zaakcode]],Tabel_VAS2022[Adviesofprocedure],"prc",Tabel_VAS2022[code_punten_forfait],12)</f>
        <v>1590</v>
      </c>
      <c r="K139" s="92">
        <f>SUMIFS(Tabel_VAS2022[aantal_VAS],Tabel_VAS2022[Zaakcode],Tabel_prc_2022[[#This Row],[Zaakcode]],Tabel_VAS2022[Adviesofprocedure],"prc",Tabel_VAS2022[code_punten_forfait],15)</f>
        <v>1</v>
      </c>
      <c r="L139" s="92">
        <f>SUMIFS(Tabel_VAS2022[aantal_VAS],Tabel_VAS2022[Zaakcode],Tabel_prc_2022[[#This Row],[Zaakcode]],Tabel_VAS2022[Adviesofprocedure],"prc",Tabel_VAS2022[code_punten_forfait],16)</f>
        <v>1</v>
      </c>
      <c r="M139" s="35">
        <f>IFERROR(INDEX(Tabel_forfaits[forfait vanaf 2022],MATCH(Tabel_prc_2022[[#This Row],[Zaakcode]],Tabel_forfaits[Zaakcode],0)), "n.v.t.")</f>
        <v>5</v>
      </c>
      <c r="N139" s="35">
        <f>IFERROR(INDEX(Tabel_forfaits[forfait VdM II voor berekening],MATCH(Tabel_prc_2022[[#This Row],[Zaakcode]],Tabel_forfaits[Zaakcode],0)), "n.v.t.")</f>
        <v>5</v>
      </c>
      <c r="O139" s="36"/>
      <c r="P13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3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3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39" s="35">
        <f>IF(Tabel_prc_2022[[#This Row],[procedure - forfait VdM II]]="n.v.t.",0,  Tabel_prc_2022[[#This Row],[procedure - aantal 0 punten]] * (Tabel_prc_2022[[#This Row],[procedure - forfait VdM II]] - Tabel_prc_2022[[#This Row],[procedure - forfait VdM I]]))</f>
        <v>0</v>
      </c>
      <c r="T13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1958</v>
      </c>
      <c r="U13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39" s="109">
        <f>Tabel_prc_2022[[#This Row],[procedure - totaal extra punten toev. VdM II t.o.v. huidig]] * tarief_huidig</f>
        <v>0</v>
      </c>
    </row>
    <row r="140" spans="2:22" x14ac:dyDescent="0.3">
      <c r="B140" s="1" t="s">
        <v>135</v>
      </c>
      <c r="C140" s="34" t="s">
        <v>5</v>
      </c>
      <c r="D14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663</v>
      </c>
      <c r="E14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4569.0999999999995</v>
      </c>
      <c r="F140" s="91">
        <f>SUMIFS(Tabel_VAS2022[aantal_VAS],Tabel_VAS2022[Zaakcode],Tabel_prc_2022[[#This Row],[Zaakcode]],Tabel_VAS2022[Adviesofprocedure],"prc",Tabel_VAS2022[code_punten_forfait],10)</f>
        <v>4</v>
      </c>
      <c r="G140" s="92">
        <f>SUMIFS(Tabel_VAS2022[aantal_VAS],Tabel_VAS2022[Zaakcode],Tabel_prc_2022[[#This Row],[Zaakcode]],Tabel_VAS2022[Adviesofprocedure],"prc",Tabel_VAS2022[code_punten_forfait],11)</f>
        <v>279</v>
      </c>
      <c r="H140" s="92">
        <f>SUMIFS(Tabel_VAS2022[aantal_VAS],Tabel_VAS2022[Zaakcode],Tabel_prc_2022[[#This Row],[Zaakcode]],Tabel_VAS2022[Adviesofprocedure],"prc",Tabel_VAS2022[code_punten_forfait],13)</f>
        <v>36</v>
      </c>
      <c r="I140" s="92">
        <f>SUMIFS(Tabel_VAS2022[aantal_VAS],Tabel_VAS2022[Zaakcode],Tabel_prc_2022[[#This Row],[Zaakcode]],Tabel_VAS2022[Adviesofprocedure],"prc",Tabel_VAS2022[code_punten_forfait],14)</f>
        <v>54</v>
      </c>
      <c r="J140" s="92">
        <f>SUMIFS(Tabel_VAS2022[aantal_VAS],Tabel_VAS2022[Zaakcode],Tabel_prc_2022[[#This Row],[Zaakcode]],Tabel_VAS2022[Adviesofprocedure],"prc",Tabel_VAS2022[code_punten_forfait],12)</f>
        <v>218</v>
      </c>
      <c r="K140" s="92">
        <f>SUMIFS(Tabel_VAS2022[aantal_VAS],Tabel_VAS2022[Zaakcode],Tabel_prc_2022[[#This Row],[Zaakcode]],Tabel_VAS2022[Adviesofprocedure],"prc",Tabel_VAS2022[code_punten_forfait],15)</f>
        <v>57</v>
      </c>
      <c r="L140" s="92">
        <f>SUMIFS(Tabel_VAS2022[aantal_VAS],Tabel_VAS2022[Zaakcode],Tabel_prc_2022[[#This Row],[Zaakcode]],Tabel_VAS2022[Adviesofprocedure],"prc",Tabel_VAS2022[code_punten_forfait],16)</f>
        <v>15</v>
      </c>
      <c r="M140" s="35">
        <f>IFERROR(INDEX(Tabel_forfaits[forfait vanaf 2022],MATCH(Tabel_prc_2022[[#This Row],[Zaakcode]],Tabel_forfaits[Zaakcode],0)), "n.v.t.")</f>
        <v>9</v>
      </c>
      <c r="N140" s="35">
        <f>IFERROR(INDEX(Tabel_forfaits[forfait VdM II voor berekening],MATCH(Tabel_prc_2022[[#This Row],[Zaakcode]],Tabel_forfaits[Zaakcode],0)), "n.v.t.")</f>
        <v>9</v>
      </c>
      <c r="O140" s="36"/>
      <c r="P14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0" s="35">
        <f>IF(Tabel_prc_2022[[#This Row],[procedure - forfait VdM II]]="n.v.t.",0,  Tabel_prc_2022[[#This Row],[procedure - aantal 0 punten]] * (Tabel_prc_2022[[#This Row],[procedure - forfait VdM II]] - Tabel_prc_2022[[#This Row],[procedure - forfait VdM I]]))</f>
        <v>0</v>
      </c>
      <c r="T14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659</v>
      </c>
      <c r="U14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0" s="109">
        <f>Tabel_prc_2022[[#This Row],[procedure - totaal extra punten toev. VdM II t.o.v. huidig]] * tarief_huidig</f>
        <v>0</v>
      </c>
    </row>
    <row r="141" spans="2:22" x14ac:dyDescent="0.3">
      <c r="B141" s="1" t="s">
        <v>136</v>
      </c>
      <c r="C141" s="34" t="s">
        <v>5</v>
      </c>
      <c r="D14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2269</v>
      </c>
      <c r="E14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10603.699999999999</v>
      </c>
      <c r="F141" s="91">
        <f>SUMIFS(Tabel_VAS2022[aantal_VAS],Tabel_VAS2022[Zaakcode],Tabel_prc_2022[[#This Row],[Zaakcode]],Tabel_VAS2022[Adviesofprocedure],"prc",Tabel_VAS2022[code_punten_forfait],10)</f>
        <v>1</v>
      </c>
      <c r="G141" s="92">
        <f>SUMIFS(Tabel_VAS2022[aantal_VAS],Tabel_VAS2022[Zaakcode],Tabel_prc_2022[[#This Row],[Zaakcode]],Tabel_VAS2022[Adviesofprocedure],"prc",Tabel_VAS2022[code_punten_forfait],11)</f>
        <v>714</v>
      </c>
      <c r="H141" s="92">
        <f>SUMIFS(Tabel_VAS2022[aantal_VAS],Tabel_VAS2022[Zaakcode],Tabel_prc_2022[[#This Row],[Zaakcode]],Tabel_VAS2022[Adviesofprocedure],"prc",Tabel_VAS2022[code_punten_forfait],13)</f>
        <v>33</v>
      </c>
      <c r="I141" s="92">
        <f>SUMIFS(Tabel_VAS2022[aantal_VAS],Tabel_VAS2022[Zaakcode],Tabel_prc_2022[[#This Row],[Zaakcode]],Tabel_VAS2022[Adviesofprocedure],"prc",Tabel_VAS2022[code_punten_forfait],14)</f>
        <v>30</v>
      </c>
      <c r="J141" s="91">
        <f>SUMIFS(Tabel_VAS2022[aantal_VAS],Tabel_VAS2022[Zaakcode],Tabel_prc_2022[[#This Row],[Zaakcode]],Tabel_VAS2022[Adviesofprocedure],"prc",Tabel_VAS2022[code_punten_forfait],12)</f>
        <v>1451</v>
      </c>
      <c r="K141" s="92">
        <f>SUMIFS(Tabel_VAS2022[aantal_VAS],Tabel_VAS2022[Zaakcode],Tabel_prc_2022[[#This Row],[Zaakcode]],Tabel_VAS2022[Adviesofprocedure],"prc",Tabel_VAS2022[code_punten_forfait],15)</f>
        <v>24</v>
      </c>
      <c r="L141" s="92">
        <f>SUMIFS(Tabel_VAS2022[aantal_VAS],Tabel_VAS2022[Zaakcode],Tabel_prc_2022[[#This Row],[Zaakcode]],Tabel_VAS2022[Adviesofprocedure],"prc",Tabel_VAS2022[code_punten_forfait],16)</f>
        <v>16</v>
      </c>
      <c r="M141" s="35">
        <f>IFERROR(INDEX(Tabel_forfaits[forfait vanaf 2022],MATCH(Tabel_prc_2022[[#This Row],[Zaakcode]],Tabel_forfaits[Zaakcode],0)), "n.v.t.")</f>
        <v>5</v>
      </c>
      <c r="N141" s="35">
        <f>IFERROR(INDEX(Tabel_forfaits[forfait VdM II voor berekening],MATCH(Tabel_prc_2022[[#This Row],[Zaakcode]],Tabel_forfaits[Zaakcode],0)), "n.v.t.")</f>
        <v>5</v>
      </c>
      <c r="O141" s="36"/>
      <c r="P14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1" s="35">
        <f>IF(Tabel_prc_2022[[#This Row],[procedure - forfait VdM II]]="n.v.t.",0,  Tabel_prc_2022[[#This Row],[procedure - aantal 0 punten]] * (Tabel_prc_2022[[#This Row],[procedure - forfait VdM II]] - Tabel_prc_2022[[#This Row],[procedure - forfait VdM I]]))</f>
        <v>0</v>
      </c>
      <c r="T14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2268</v>
      </c>
      <c r="U14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1" s="109">
        <f>Tabel_prc_2022[[#This Row],[procedure - totaal extra punten toev. VdM II t.o.v. huidig]] * tarief_huidig</f>
        <v>0</v>
      </c>
    </row>
    <row r="142" spans="2:22" x14ac:dyDescent="0.3">
      <c r="B142" s="1" t="s">
        <v>137</v>
      </c>
      <c r="C142" s="34" t="s">
        <v>5</v>
      </c>
      <c r="D14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67</v>
      </c>
      <c r="E14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303</v>
      </c>
      <c r="F142" s="91">
        <f>SUMIFS(Tabel_VAS2022[aantal_VAS],Tabel_VAS2022[Zaakcode],Tabel_prc_2022[[#This Row],[Zaakcode]],Tabel_VAS2022[Adviesofprocedure],"prc",Tabel_VAS2022[code_punten_forfait],10)</f>
        <v>0</v>
      </c>
      <c r="G142" s="92">
        <f>SUMIFS(Tabel_VAS2022[aantal_VAS],Tabel_VAS2022[Zaakcode],Tabel_prc_2022[[#This Row],[Zaakcode]],Tabel_VAS2022[Adviesofprocedure],"prc",Tabel_VAS2022[code_punten_forfait],11)</f>
        <v>37</v>
      </c>
      <c r="H142" s="92">
        <f>SUMIFS(Tabel_VAS2022[aantal_VAS],Tabel_VAS2022[Zaakcode],Tabel_prc_2022[[#This Row],[Zaakcode]],Tabel_VAS2022[Adviesofprocedure],"prc",Tabel_VAS2022[code_punten_forfait],13)</f>
        <v>4</v>
      </c>
      <c r="I142" s="92">
        <f>SUMIFS(Tabel_VAS2022[aantal_VAS],Tabel_VAS2022[Zaakcode],Tabel_prc_2022[[#This Row],[Zaakcode]],Tabel_VAS2022[Adviesofprocedure],"prc",Tabel_VAS2022[code_punten_forfait],14)</f>
        <v>0</v>
      </c>
      <c r="J142" s="92">
        <f>SUMIFS(Tabel_VAS2022[aantal_VAS],Tabel_VAS2022[Zaakcode],Tabel_prc_2022[[#This Row],[Zaakcode]],Tabel_VAS2022[Adviesofprocedure],"prc",Tabel_VAS2022[code_punten_forfait],12)</f>
        <v>23</v>
      </c>
      <c r="K142" s="92">
        <f>SUMIFS(Tabel_VAS2022[aantal_VAS],Tabel_VAS2022[Zaakcode],Tabel_prc_2022[[#This Row],[Zaakcode]],Tabel_VAS2022[Adviesofprocedure],"prc",Tabel_VAS2022[code_punten_forfait],15)</f>
        <v>3</v>
      </c>
      <c r="L142" s="92">
        <f>SUMIFS(Tabel_VAS2022[aantal_VAS],Tabel_VAS2022[Zaakcode],Tabel_prc_2022[[#This Row],[Zaakcode]],Tabel_VAS2022[Adviesofprocedure],"prc",Tabel_VAS2022[code_punten_forfait],16)</f>
        <v>0</v>
      </c>
      <c r="M142" s="35">
        <f>IFERROR(INDEX(Tabel_forfaits[forfait vanaf 2022],MATCH(Tabel_prc_2022[[#This Row],[Zaakcode]],Tabel_forfaits[Zaakcode],0)), "n.v.t.")</f>
        <v>6</v>
      </c>
      <c r="N142" s="35">
        <f>IFERROR(INDEX(Tabel_forfaits[forfait VdM II voor berekening],MATCH(Tabel_prc_2022[[#This Row],[Zaakcode]],Tabel_forfaits[Zaakcode],0)), "n.v.t.")</f>
        <v>6</v>
      </c>
      <c r="O142" s="36"/>
      <c r="P14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2" s="35">
        <f>IF(Tabel_prc_2022[[#This Row],[procedure - forfait VdM II]]="n.v.t.",0,  Tabel_prc_2022[[#This Row],[procedure - aantal 0 punten]] * (Tabel_prc_2022[[#This Row],[procedure - forfait VdM II]] - Tabel_prc_2022[[#This Row],[procedure - forfait VdM I]]))</f>
        <v>0</v>
      </c>
      <c r="T14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67</v>
      </c>
      <c r="U14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2" s="109">
        <f>Tabel_prc_2022[[#This Row],[procedure - totaal extra punten toev. VdM II t.o.v. huidig]] * tarief_huidig</f>
        <v>0</v>
      </c>
    </row>
    <row r="143" spans="2:22" x14ac:dyDescent="0.3">
      <c r="B143" s="1" t="s">
        <v>138</v>
      </c>
      <c r="C143" s="34" t="s">
        <v>5</v>
      </c>
      <c r="D14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4292</v>
      </c>
      <c r="E14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17130.5</v>
      </c>
      <c r="F143" s="91">
        <f>SUMIFS(Tabel_VAS2022[aantal_VAS],Tabel_VAS2022[Zaakcode],Tabel_prc_2022[[#This Row],[Zaakcode]],Tabel_VAS2022[Adviesofprocedure],"prc",Tabel_VAS2022[code_punten_forfait],10)</f>
        <v>0</v>
      </c>
      <c r="G143" s="92">
        <f>SUMIFS(Tabel_VAS2022[aantal_VAS],Tabel_VAS2022[Zaakcode],Tabel_prc_2022[[#This Row],[Zaakcode]],Tabel_VAS2022[Adviesofprocedure],"prc",Tabel_VAS2022[code_punten_forfait],11)</f>
        <v>1256</v>
      </c>
      <c r="H143" s="92">
        <f>SUMIFS(Tabel_VAS2022[aantal_VAS],Tabel_VAS2022[Zaakcode],Tabel_prc_2022[[#This Row],[Zaakcode]],Tabel_VAS2022[Adviesofprocedure],"prc",Tabel_VAS2022[code_punten_forfait],13)</f>
        <v>7</v>
      </c>
      <c r="I143" s="91">
        <f>SUMIFS(Tabel_VAS2022[aantal_VAS],Tabel_VAS2022[Zaakcode],Tabel_prc_2022[[#This Row],[Zaakcode]],Tabel_VAS2022[Adviesofprocedure],"prc",Tabel_VAS2022[code_punten_forfait],14)</f>
        <v>2</v>
      </c>
      <c r="J143" s="91">
        <f>SUMIFS(Tabel_VAS2022[aantal_VAS],Tabel_VAS2022[Zaakcode],Tabel_prc_2022[[#This Row],[Zaakcode]],Tabel_VAS2022[Adviesofprocedure],"prc",Tabel_VAS2022[code_punten_forfait],12)</f>
        <v>3003</v>
      </c>
      <c r="K143" s="92">
        <f>SUMIFS(Tabel_VAS2022[aantal_VAS],Tabel_VAS2022[Zaakcode],Tabel_prc_2022[[#This Row],[Zaakcode]],Tabel_VAS2022[Adviesofprocedure],"prc",Tabel_VAS2022[code_punten_forfait],15)</f>
        <v>21</v>
      </c>
      <c r="L143" s="92">
        <f>SUMIFS(Tabel_VAS2022[aantal_VAS],Tabel_VAS2022[Zaakcode],Tabel_prc_2022[[#This Row],[Zaakcode]],Tabel_VAS2022[Adviesofprocedure],"prc",Tabel_VAS2022[code_punten_forfait],16)</f>
        <v>3</v>
      </c>
      <c r="M143" s="35">
        <f>IFERROR(INDEX(Tabel_forfaits[forfait vanaf 2022],MATCH(Tabel_prc_2022[[#This Row],[Zaakcode]],Tabel_forfaits[Zaakcode],0)), "n.v.t.")</f>
        <v>4</v>
      </c>
      <c r="N143" s="35">
        <f>IFERROR(INDEX(Tabel_forfaits[forfait VdM II voor berekening],MATCH(Tabel_prc_2022[[#This Row],[Zaakcode]],Tabel_forfaits[Zaakcode],0)), "n.v.t.")</f>
        <v>4</v>
      </c>
      <c r="O143" s="36"/>
      <c r="P14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3" s="35">
        <f>IF(Tabel_prc_2022[[#This Row],[procedure - forfait VdM II]]="n.v.t.",0,  Tabel_prc_2022[[#This Row],[procedure - aantal 0 punten]] * (Tabel_prc_2022[[#This Row],[procedure - forfait VdM II]] - Tabel_prc_2022[[#This Row],[procedure - forfait VdM I]]))</f>
        <v>0</v>
      </c>
      <c r="T14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4292</v>
      </c>
      <c r="U14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3" s="109">
        <f>Tabel_prc_2022[[#This Row],[procedure - totaal extra punten toev. VdM II t.o.v. huidig]] * tarief_huidig</f>
        <v>0</v>
      </c>
    </row>
    <row r="144" spans="2:22" x14ac:dyDescent="0.3">
      <c r="B144" s="1" t="s">
        <v>139</v>
      </c>
      <c r="C144" s="34" t="s">
        <v>5</v>
      </c>
      <c r="D14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747</v>
      </c>
      <c r="E14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2805</v>
      </c>
      <c r="F144" s="91">
        <f>SUMIFS(Tabel_VAS2022[aantal_VAS],Tabel_VAS2022[Zaakcode],Tabel_prc_2022[[#This Row],[Zaakcode]],Tabel_VAS2022[Adviesofprocedure],"prc",Tabel_VAS2022[code_punten_forfait],10)</f>
        <v>0</v>
      </c>
      <c r="G144" s="92">
        <f>SUMIFS(Tabel_VAS2022[aantal_VAS],Tabel_VAS2022[Zaakcode],Tabel_prc_2022[[#This Row],[Zaakcode]],Tabel_VAS2022[Adviesofprocedure],"prc",Tabel_VAS2022[code_punten_forfait],11)</f>
        <v>183</v>
      </c>
      <c r="H144" s="92">
        <f>SUMIFS(Tabel_VAS2022[aantal_VAS],Tabel_VAS2022[Zaakcode],Tabel_prc_2022[[#This Row],[Zaakcode]],Tabel_VAS2022[Adviesofprocedure],"prc",Tabel_VAS2022[code_punten_forfait],13)</f>
        <v>0</v>
      </c>
      <c r="I144" s="92">
        <f>SUMIFS(Tabel_VAS2022[aantal_VAS],Tabel_VAS2022[Zaakcode],Tabel_prc_2022[[#This Row],[Zaakcode]],Tabel_VAS2022[Adviesofprocedure],"prc",Tabel_VAS2022[code_punten_forfait],14)</f>
        <v>0</v>
      </c>
      <c r="J144" s="92">
        <f>SUMIFS(Tabel_VAS2022[aantal_VAS],Tabel_VAS2022[Zaakcode],Tabel_prc_2022[[#This Row],[Zaakcode]],Tabel_VAS2022[Adviesofprocedure],"prc",Tabel_VAS2022[code_punten_forfait],12)</f>
        <v>564</v>
      </c>
      <c r="K144" s="92">
        <f>SUMIFS(Tabel_VAS2022[aantal_VAS],Tabel_VAS2022[Zaakcode],Tabel_prc_2022[[#This Row],[Zaakcode]],Tabel_VAS2022[Adviesofprocedure],"prc",Tabel_VAS2022[code_punten_forfait],15)</f>
        <v>0</v>
      </c>
      <c r="L144" s="92">
        <f>SUMIFS(Tabel_VAS2022[aantal_VAS],Tabel_VAS2022[Zaakcode],Tabel_prc_2022[[#This Row],[Zaakcode]],Tabel_VAS2022[Adviesofprocedure],"prc",Tabel_VAS2022[code_punten_forfait],16)</f>
        <v>0</v>
      </c>
      <c r="M144" s="35">
        <f>IFERROR(INDEX(Tabel_forfaits[forfait vanaf 2022],MATCH(Tabel_prc_2022[[#This Row],[Zaakcode]],Tabel_forfaits[Zaakcode],0)), "n.v.t.")</f>
        <v>4</v>
      </c>
      <c r="N144" s="35">
        <f>IFERROR(INDEX(Tabel_forfaits[forfait VdM II voor berekening],MATCH(Tabel_prc_2022[[#This Row],[Zaakcode]],Tabel_forfaits[Zaakcode],0)), "n.v.t.")</f>
        <v>6</v>
      </c>
      <c r="O144" s="36"/>
      <c r="P14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1494</v>
      </c>
      <c r="Q14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4" s="35">
        <f>IF(Tabel_prc_2022[[#This Row],[procedure - forfait VdM II]]="n.v.t.",0,  Tabel_prc_2022[[#This Row],[procedure - aantal 0 punten]] * (Tabel_prc_2022[[#This Row],[procedure - forfait VdM II]] - Tabel_prc_2022[[#This Row],[procedure - forfait VdM I]]))</f>
        <v>0</v>
      </c>
      <c r="T14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747</v>
      </c>
      <c r="U144"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1494</v>
      </c>
      <c r="V144" s="109">
        <f>Tabel_prc_2022[[#This Row],[procedure - totaal extra punten toev. VdM II t.o.v. huidig]] * tarief_huidig</f>
        <v>228769.49699999997</v>
      </c>
    </row>
    <row r="145" spans="2:24" x14ac:dyDescent="0.3">
      <c r="B145" s="1" t="s">
        <v>140</v>
      </c>
      <c r="C145" s="34" t="s">
        <v>5</v>
      </c>
      <c r="D145"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3815</v>
      </c>
      <c r="E145"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17463.7</v>
      </c>
      <c r="F145" s="91">
        <f>SUMIFS(Tabel_VAS2022[aantal_VAS],Tabel_VAS2022[Zaakcode],Tabel_prc_2022[[#This Row],[Zaakcode]],Tabel_VAS2022[Adviesofprocedure],"prc",Tabel_VAS2022[code_punten_forfait],10)</f>
        <v>0</v>
      </c>
      <c r="G145" s="92">
        <f>SUMIFS(Tabel_VAS2022[aantal_VAS],Tabel_VAS2022[Zaakcode],Tabel_prc_2022[[#This Row],[Zaakcode]],Tabel_VAS2022[Adviesofprocedure],"prc",Tabel_VAS2022[code_punten_forfait],11)</f>
        <v>811</v>
      </c>
      <c r="H145" s="92">
        <f>SUMIFS(Tabel_VAS2022[aantal_VAS],Tabel_VAS2022[Zaakcode],Tabel_prc_2022[[#This Row],[Zaakcode]],Tabel_VAS2022[Adviesofprocedure],"prc",Tabel_VAS2022[code_punten_forfait],13)</f>
        <v>3</v>
      </c>
      <c r="I145" s="92">
        <f>SUMIFS(Tabel_VAS2022[aantal_VAS],Tabel_VAS2022[Zaakcode],Tabel_prc_2022[[#This Row],[Zaakcode]],Tabel_VAS2022[Adviesofprocedure],"prc",Tabel_VAS2022[code_punten_forfait],14)</f>
        <v>7</v>
      </c>
      <c r="J145" s="91">
        <f>SUMIFS(Tabel_VAS2022[aantal_VAS],Tabel_VAS2022[Zaakcode],Tabel_prc_2022[[#This Row],[Zaakcode]],Tabel_VAS2022[Adviesofprocedure],"prc",Tabel_VAS2022[code_punten_forfait],12)</f>
        <v>2985</v>
      </c>
      <c r="K145" s="92">
        <f>SUMIFS(Tabel_VAS2022[aantal_VAS],Tabel_VAS2022[Zaakcode],Tabel_prc_2022[[#This Row],[Zaakcode]],Tabel_VAS2022[Adviesofprocedure],"prc",Tabel_VAS2022[code_punten_forfait],15)</f>
        <v>5</v>
      </c>
      <c r="L145" s="92">
        <f>SUMIFS(Tabel_VAS2022[aantal_VAS],Tabel_VAS2022[Zaakcode],Tabel_prc_2022[[#This Row],[Zaakcode]],Tabel_VAS2022[Adviesofprocedure],"prc",Tabel_VAS2022[code_punten_forfait],16)</f>
        <v>4</v>
      </c>
      <c r="M145" s="35">
        <f>IFERROR(INDEX(Tabel_forfaits[forfait vanaf 2022],MATCH(Tabel_prc_2022[[#This Row],[Zaakcode]],Tabel_forfaits[Zaakcode],0)), "n.v.t.")</f>
        <v>5</v>
      </c>
      <c r="N145" s="35">
        <f>IFERROR(INDEX(Tabel_forfaits[forfait VdM II voor berekening],MATCH(Tabel_prc_2022[[#This Row],[Zaakcode]],Tabel_forfaits[Zaakcode],0)), "n.v.t.")</f>
        <v>5</v>
      </c>
      <c r="O145" s="36"/>
      <c r="P145"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5"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5"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5" s="35">
        <f>IF(Tabel_prc_2022[[#This Row],[procedure - forfait VdM II]]="n.v.t.",0,  Tabel_prc_2022[[#This Row],[procedure - aantal 0 punten]] * (Tabel_prc_2022[[#This Row],[procedure - forfait VdM II]] - Tabel_prc_2022[[#This Row],[procedure - forfait VdM I]]))</f>
        <v>0</v>
      </c>
      <c r="T145"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3815</v>
      </c>
      <c r="U145"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5" s="109">
        <f>Tabel_prc_2022[[#This Row],[procedure - totaal extra punten toev. VdM II t.o.v. huidig]] * tarief_huidig</f>
        <v>0</v>
      </c>
    </row>
    <row r="146" spans="2:24" x14ac:dyDescent="0.3">
      <c r="B146" s="1" t="s">
        <v>141</v>
      </c>
      <c r="C146" s="34" t="s">
        <v>5</v>
      </c>
      <c r="D146"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3568</v>
      </c>
      <c r="E146"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16692.699999999997</v>
      </c>
      <c r="F146" s="91">
        <f>SUMIFS(Tabel_VAS2022[aantal_VAS],Tabel_VAS2022[Zaakcode],Tabel_prc_2022[[#This Row],[Zaakcode]],Tabel_VAS2022[Adviesofprocedure],"prc",Tabel_VAS2022[code_punten_forfait],10)</f>
        <v>0</v>
      </c>
      <c r="G146" s="92">
        <f>SUMIFS(Tabel_VAS2022[aantal_VAS],Tabel_VAS2022[Zaakcode],Tabel_prc_2022[[#This Row],[Zaakcode]],Tabel_VAS2022[Adviesofprocedure],"prc",Tabel_VAS2022[code_punten_forfait],11)</f>
        <v>579</v>
      </c>
      <c r="H146" s="92">
        <f>SUMIFS(Tabel_VAS2022[aantal_VAS],Tabel_VAS2022[Zaakcode],Tabel_prc_2022[[#This Row],[Zaakcode]],Tabel_VAS2022[Adviesofprocedure],"prc",Tabel_VAS2022[code_punten_forfait],13)</f>
        <v>2</v>
      </c>
      <c r="I146" s="92">
        <f>SUMIFS(Tabel_VAS2022[aantal_VAS],Tabel_VAS2022[Zaakcode],Tabel_prc_2022[[#This Row],[Zaakcode]],Tabel_VAS2022[Adviesofprocedure],"prc",Tabel_VAS2022[code_punten_forfait],14)</f>
        <v>2</v>
      </c>
      <c r="J146" s="91">
        <f>SUMIFS(Tabel_VAS2022[aantal_VAS],Tabel_VAS2022[Zaakcode],Tabel_prc_2022[[#This Row],[Zaakcode]],Tabel_VAS2022[Adviesofprocedure],"prc",Tabel_VAS2022[code_punten_forfait],12)</f>
        <v>2977</v>
      </c>
      <c r="K146" s="92">
        <f>SUMIFS(Tabel_VAS2022[aantal_VAS],Tabel_VAS2022[Zaakcode],Tabel_prc_2022[[#This Row],[Zaakcode]],Tabel_VAS2022[Adviesofprocedure],"prc",Tabel_VAS2022[code_punten_forfait],15)</f>
        <v>4</v>
      </c>
      <c r="L146" s="92">
        <f>SUMIFS(Tabel_VAS2022[aantal_VAS],Tabel_VAS2022[Zaakcode],Tabel_prc_2022[[#This Row],[Zaakcode]],Tabel_VAS2022[Adviesofprocedure],"prc",Tabel_VAS2022[code_punten_forfait],16)</f>
        <v>4</v>
      </c>
      <c r="M146" s="35">
        <f>IFERROR(INDEX(Tabel_forfaits[forfait vanaf 2022],MATCH(Tabel_prc_2022[[#This Row],[Zaakcode]],Tabel_forfaits[Zaakcode],0)), "n.v.t.")</f>
        <v>5</v>
      </c>
      <c r="N146" s="35">
        <f>IFERROR(INDEX(Tabel_forfaits[forfait VdM II voor berekening],MATCH(Tabel_prc_2022[[#This Row],[Zaakcode]],Tabel_forfaits[Zaakcode],0)), "n.v.t.")</f>
        <v>5</v>
      </c>
      <c r="O146" s="36"/>
      <c r="P146"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6"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6"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6" s="35">
        <f>IF(Tabel_prc_2022[[#This Row],[procedure - forfait VdM II]]="n.v.t.",0,  Tabel_prc_2022[[#This Row],[procedure - aantal 0 punten]] * (Tabel_prc_2022[[#This Row],[procedure - forfait VdM II]] - Tabel_prc_2022[[#This Row],[procedure - forfait VdM I]]))</f>
        <v>0</v>
      </c>
      <c r="T146"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3568</v>
      </c>
      <c r="U146"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6" s="109">
        <f>Tabel_prc_2022[[#This Row],[procedure - totaal extra punten toev. VdM II t.o.v. huidig]] * tarief_huidig</f>
        <v>0</v>
      </c>
    </row>
    <row r="147" spans="2:24" x14ac:dyDescent="0.3">
      <c r="B147" s="1" t="s">
        <v>142</v>
      </c>
      <c r="C147" s="34" t="s">
        <v>5</v>
      </c>
      <c r="D147"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152</v>
      </c>
      <c r="E147"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694</v>
      </c>
      <c r="F147" s="91">
        <f>SUMIFS(Tabel_VAS2022[aantal_VAS],Tabel_VAS2022[Zaakcode],Tabel_prc_2022[[#This Row],[Zaakcode]],Tabel_VAS2022[Adviesofprocedure],"prc",Tabel_VAS2022[code_punten_forfait],10)</f>
        <v>0</v>
      </c>
      <c r="G147" s="92">
        <f>SUMIFS(Tabel_VAS2022[aantal_VAS],Tabel_VAS2022[Zaakcode],Tabel_prc_2022[[#This Row],[Zaakcode]],Tabel_VAS2022[Adviesofprocedure],"prc",Tabel_VAS2022[code_punten_forfait],11)</f>
        <v>66</v>
      </c>
      <c r="H147" s="92">
        <f>SUMIFS(Tabel_VAS2022[aantal_VAS],Tabel_VAS2022[Zaakcode],Tabel_prc_2022[[#This Row],[Zaakcode]],Tabel_VAS2022[Adviesofprocedure],"prc",Tabel_VAS2022[code_punten_forfait],13)</f>
        <v>0</v>
      </c>
      <c r="I147" s="92">
        <f>SUMIFS(Tabel_VAS2022[aantal_VAS],Tabel_VAS2022[Zaakcode],Tabel_prc_2022[[#This Row],[Zaakcode]],Tabel_VAS2022[Adviesofprocedure],"prc",Tabel_VAS2022[code_punten_forfait],14)</f>
        <v>0</v>
      </c>
      <c r="J147" s="92">
        <f>SUMIFS(Tabel_VAS2022[aantal_VAS],Tabel_VAS2022[Zaakcode],Tabel_prc_2022[[#This Row],[Zaakcode]],Tabel_VAS2022[Adviesofprocedure],"prc",Tabel_VAS2022[code_punten_forfait],12)</f>
        <v>86</v>
      </c>
      <c r="K147" s="92">
        <f>SUMIFS(Tabel_VAS2022[aantal_VAS],Tabel_VAS2022[Zaakcode],Tabel_prc_2022[[#This Row],[Zaakcode]],Tabel_VAS2022[Adviesofprocedure],"prc",Tabel_VAS2022[code_punten_forfait],15)</f>
        <v>0</v>
      </c>
      <c r="L147" s="92">
        <f>SUMIFS(Tabel_VAS2022[aantal_VAS],Tabel_VAS2022[Zaakcode],Tabel_prc_2022[[#This Row],[Zaakcode]],Tabel_VAS2022[Adviesofprocedure],"prc",Tabel_VAS2022[code_punten_forfait],16)</f>
        <v>0</v>
      </c>
      <c r="M147" s="35">
        <f>IFERROR(INDEX(Tabel_forfaits[forfait vanaf 2022],MATCH(Tabel_prc_2022[[#This Row],[Zaakcode]],Tabel_forfaits[Zaakcode],0)), "n.v.t.")</f>
        <v>5</v>
      </c>
      <c r="N147" s="35">
        <f>IFERROR(INDEX(Tabel_forfaits[forfait VdM II voor berekening],MATCH(Tabel_prc_2022[[#This Row],[Zaakcode]],Tabel_forfaits[Zaakcode],0)), "n.v.t.")</f>
        <v>5</v>
      </c>
      <c r="O147" s="36"/>
      <c r="P147"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7"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7"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7" s="35">
        <f>IF(Tabel_prc_2022[[#This Row],[procedure - forfait VdM II]]="n.v.t.",0,  Tabel_prc_2022[[#This Row],[procedure - aantal 0 punten]] * (Tabel_prc_2022[[#This Row],[procedure - forfait VdM II]] - Tabel_prc_2022[[#This Row],[procedure - forfait VdM I]]))</f>
        <v>0</v>
      </c>
      <c r="T147"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152</v>
      </c>
      <c r="U147"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7" s="109">
        <f>Tabel_prc_2022[[#This Row],[procedure - totaal extra punten toev. VdM II t.o.v. huidig]] * tarief_huidig</f>
        <v>0</v>
      </c>
    </row>
    <row r="148" spans="2:24" x14ac:dyDescent="0.3">
      <c r="B148" s="1" t="s">
        <v>143</v>
      </c>
      <c r="C148" s="34" t="s">
        <v>5</v>
      </c>
      <c r="D148"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880</v>
      </c>
      <c r="E148"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4910.7</v>
      </c>
      <c r="F148" s="91">
        <f>SUMIFS(Tabel_VAS2022[aantal_VAS],Tabel_VAS2022[Zaakcode],Tabel_prc_2022[[#This Row],[Zaakcode]],Tabel_VAS2022[Adviesofprocedure],"prc",Tabel_VAS2022[code_punten_forfait],10)</f>
        <v>0</v>
      </c>
      <c r="G148" s="92">
        <f>SUMIFS(Tabel_VAS2022[aantal_VAS],Tabel_VAS2022[Zaakcode],Tabel_prc_2022[[#This Row],[Zaakcode]],Tabel_VAS2022[Adviesofprocedure],"prc",Tabel_VAS2022[code_punten_forfait],11)</f>
        <v>555</v>
      </c>
      <c r="H148" s="92">
        <f>SUMIFS(Tabel_VAS2022[aantal_VAS],Tabel_VAS2022[Zaakcode],Tabel_prc_2022[[#This Row],[Zaakcode]],Tabel_VAS2022[Adviesofprocedure],"prc",Tabel_VAS2022[code_punten_forfait],13)</f>
        <v>23</v>
      </c>
      <c r="I148" s="92">
        <f>SUMIFS(Tabel_VAS2022[aantal_VAS],Tabel_VAS2022[Zaakcode],Tabel_prc_2022[[#This Row],[Zaakcode]],Tabel_VAS2022[Adviesofprocedure],"prc",Tabel_VAS2022[code_punten_forfait],14)</f>
        <v>3</v>
      </c>
      <c r="J148" s="92">
        <f>SUMIFS(Tabel_VAS2022[aantal_VAS],Tabel_VAS2022[Zaakcode],Tabel_prc_2022[[#This Row],[Zaakcode]],Tabel_VAS2022[Adviesofprocedure],"prc",Tabel_VAS2022[code_punten_forfait],12)</f>
        <v>271</v>
      </c>
      <c r="K148" s="92">
        <f>SUMIFS(Tabel_VAS2022[aantal_VAS],Tabel_VAS2022[Zaakcode],Tabel_prc_2022[[#This Row],[Zaakcode]],Tabel_VAS2022[Adviesofprocedure],"prc",Tabel_VAS2022[code_punten_forfait],15)</f>
        <v>26</v>
      </c>
      <c r="L148" s="92">
        <f>SUMIFS(Tabel_VAS2022[aantal_VAS],Tabel_VAS2022[Zaakcode],Tabel_prc_2022[[#This Row],[Zaakcode]],Tabel_VAS2022[Adviesofprocedure],"prc",Tabel_VAS2022[code_punten_forfait],16)</f>
        <v>2</v>
      </c>
      <c r="M148" s="35">
        <f>IFERROR(INDEX(Tabel_forfaits[forfait vanaf 2022],MATCH(Tabel_prc_2022[[#This Row],[Zaakcode]],Tabel_forfaits[Zaakcode],0)), "n.v.t.")</f>
        <v>7</v>
      </c>
      <c r="N148" s="35">
        <f>IFERROR(INDEX(Tabel_forfaits[forfait VdM II voor berekening],MATCH(Tabel_prc_2022[[#This Row],[Zaakcode]],Tabel_forfaits[Zaakcode],0)), "n.v.t.")</f>
        <v>8</v>
      </c>
      <c r="O148" s="36"/>
      <c r="P148"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826</v>
      </c>
      <c r="Q148"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49</v>
      </c>
      <c r="R148"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7.5</v>
      </c>
      <c r="S148" s="35">
        <f>IF(Tabel_prc_2022[[#This Row],[procedure - forfait VdM II]]="n.v.t.",0,  Tabel_prc_2022[[#This Row],[procedure - aantal 0 punten]] * (Tabel_prc_2022[[#This Row],[procedure - forfait VdM II]] - Tabel_prc_2022[[#This Row],[procedure - forfait VdM I]]))</f>
        <v>0</v>
      </c>
      <c r="T148"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880</v>
      </c>
      <c r="U148"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882.5</v>
      </c>
      <c r="V148" s="109">
        <f>Tabel_prc_2022[[#This Row],[procedure - totaal extra punten toev. VdM II t.o.v. huidig]] * tarief_huidig</f>
        <v>135133.25375</v>
      </c>
    </row>
    <row r="149" spans="2:24" x14ac:dyDescent="0.3">
      <c r="B149" s="1" t="s">
        <v>144</v>
      </c>
      <c r="C149" s="34" t="s">
        <v>5</v>
      </c>
      <c r="D149"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33</v>
      </c>
      <c r="E149"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272</v>
      </c>
      <c r="F149" s="91">
        <f>SUMIFS(Tabel_VAS2022[aantal_VAS],Tabel_VAS2022[Zaakcode],Tabel_prc_2022[[#This Row],[Zaakcode]],Tabel_VAS2022[Adviesofprocedure],"prc",Tabel_VAS2022[code_punten_forfait],10)</f>
        <v>0</v>
      </c>
      <c r="G149" s="92">
        <f>SUMIFS(Tabel_VAS2022[aantal_VAS],Tabel_VAS2022[Zaakcode],Tabel_prc_2022[[#This Row],[Zaakcode]],Tabel_VAS2022[Adviesofprocedure],"prc",Tabel_VAS2022[code_punten_forfait],11)</f>
        <v>21</v>
      </c>
      <c r="H149" s="92">
        <f>SUMIFS(Tabel_VAS2022[aantal_VAS],Tabel_VAS2022[Zaakcode],Tabel_prc_2022[[#This Row],[Zaakcode]],Tabel_VAS2022[Adviesofprocedure],"prc",Tabel_VAS2022[code_punten_forfait],13)</f>
        <v>1</v>
      </c>
      <c r="I149" s="92">
        <f>SUMIFS(Tabel_VAS2022[aantal_VAS],Tabel_VAS2022[Zaakcode],Tabel_prc_2022[[#This Row],[Zaakcode]],Tabel_VAS2022[Adviesofprocedure],"prc",Tabel_VAS2022[code_punten_forfait],14)</f>
        <v>0</v>
      </c>
      <c r="J149" s="92">
        <f>SUMIFS(Tabel_VAS2022[aantal_VAS],Tabel_VAS2022[Zaakcode],Tabel_prc_2022[[#This Row],[Zaakcode]],Tabel_VAS2022[Adviesofprocedure],"prc",Tabel_VAS2022[code_punten_forfait],12)</f>
        <v>9</v>
      </c>
      <c r="K149" s="92">
        <f>SUMIFS(Tabel_VAS2022[aantal_VAS],Tabel_VAS2022[Zaakcode],Tabel_prc_2022[[#This Row],[Zaakcode]],Tabel_VAS2022[Adviesofprocedure],"prc",Tabel_VAS2022[code_punten_forfait],15)</f>
        <v>1</v>
      </c>
      <c r="L149" s="92">
        <f>SUMIFS(Tabel_VAS2022[aantal_VAS],Tabel_VAS2022[Zaakcode],Tabel_prc_2022[[#This Row],[Zaakcode]],Tabel_VAS2022[Adviesofprocedure],"prc",Tabel_VAS2022[code_punten_forfait],16)</f>
        <v>1</v>
      </c>
      <c r="M149" s="35">
        <f>IFERROR(INDEX(Tabel_forfaits[forfait vanaf 2022],MATCH(Tabel_prc_2022[[#This Row],[Zaakcode]],Tabel_forfaits[Zaakcode],0)), "n.v.t.")</f>
        <v>9</v>
      </c>
      <c r="N149" s="35">
        <f>IFERROR(INDEX(Tabel_forfaits[forfait VdM II voor berekening],MATCH(Tabel_prc_2022[[#This Row],[Zaakcode]],Tabel_forfaits[Zaakcode],0)), "n.v.t.")</f>
        <v>9</v>
      </c>
      <c r="O149" s="36"/>
      <c r="P149"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49"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49"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49" s="35">
        <f>IF(Tabel_prc_2022[[#This Row],[procedure - forfait VdM II]]="n.v.t.",0,  Tabel_prc_2022[[#This Row],[procedure - aantal 0 punten]] * (Tabel_prc_2022[[#This Row],[procedure - forfait VdM II]] - Tabel_prc_2022[[#This Row],[procedure - forfait VdM I]]))</f>
        <v>0</v>
      </c>
      <c r="T149"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33</v>
      </c>
      <c r="U149"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49" s="109">
        <f>Tabel_prc_2022[[#This Row],[procedure - totaal extra punten toev. VdM II t.o.v. huidig]] * tarief_huidig</f>
        <v>0</v>
      </c>
    </row>
    <row r="150" spans="2:24" x14ac:dyDescent="0.3">
      <c r="B150" s="1" t="s">
        <v>145</v>
      </c>
      <c r="C150" s="34" t="s">
        <v>5</v>
      </c>
      <c r="D150"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1235</v>
      </c>
      <c r="E150"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5796.9000000000005</v>
      </c>
      <c r="F150" s="91">
        <f>SUMIFS(Tabel_VAS2022[aantal_VAS],Tabel_VAS2022[Zaakcode],Tabel_prc_2022[[#This Row],[Zaakcode]],Tabel_VAS2022[Adviesofprocedure],"prc",Tabel_VAS2022[code_punten_forfait],10)</f>
        <v>0</v>
      </c>
      <c r="G150" s="92">
        <f>SUMIFS(Tabel_VAS2022[aantal_VAS],Tabel_VAS2022[Zaakcode],Tabel_prc_2022[[#This Row],[Zaakcode]],Tabel_VAS2022[Adviesofprocedure],"prc",Tabel_VAS2022[code_punten_forfait],11)</f>
        <v>521</v>
      </c>
      <c r="H150" s="92">
        <f>SUMIFS(Tabel_VAS2022[aantal_VAS],Tabel_VAS2022[Zaakcode],Tabel_prc_2022[[#This Row],[Zaakcode]],Tabel_VAS2022[Adviesofprocedure],"prc",Tabel_VAS2022[code_punten_forfait],13)</f>
        <v>32</v>
      </c>
      <c r="I150" s="92">
        <f>SUMIFS(Tabel_VAS2022[aantal_VAS],Tabel_VAS2022[Zaakcode],Tabel_prc_2022[[#This Row],[Zaakcode]],Tabel_VAS2022[Adviesofprocedure],"prc",Tabel_VAS2022[code_punten_forfait],14)</f>
        <v>66</v>
      </c>
      <c r="J150" s="92">
        <f>SUMIFS(Tabel_VAS2022[aantal_VAS],Tabel_VAS2022[Zaakcode],Tabel_prc_2022[[#This Row],[Zaakcode]],Tabel_VAS2022[Adviesofprocedure],"prc",Tabel_VAS2022[code_punten_forfait],12)</f>
        <v>546</v>
      </c>
      <c r="K150" s="92">
        <f>SUMIFS(Tabel_VAS2022[aantal_VAS],Tabel_VAS2022[Zaakcode],Tabel_prc_2022[[#This Row],[Zaakcode]],Tabel_VAS2022[Adviesofprocedure],"prc",Tabel_VAS2022[code_punten_forfait],15)</f>
        <v>56</v>
      </c>
      <c r="L150" s="92">
        <f>SUMIFS(Tabel_VAS2022[aantal_VAS],Tabel_VAS2022[Zaakcode],Tabel_prc_2022[[#This Row],[Zaakcode]],Tabel_VAS2022[Adviesofprocedure],"prc",Tabel_VAS2022[code_punten_forfait],16)</f>
        <v>14</v>
      </c>
      <c r="M150" s="35">
        <f>IFERROR(INDEX(Tabel_forfaits[forfait vanaf 2022],MATCH(Tabel_prc_2022[[#This Row],[Zaakcode]],Tabel_forfaits[Zaakcode],0)), "n.v.t.")</f>
        <v>6</v>
      </c>
      <c r="N150" s="35">
        <f>IFERROR(INDEX(Tabel_forfaits[forfait VdM II voor berekening],MATCH(Tabel_prc_2022[[#This Row],[Zaakcode]],Tabel_forfaits[Zaakcode],0)), "n.v.t.")</f>
        <v>7</v>
      </c>
      <c r="O150" s="36"/>
      <c r="P150"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1067</v>
      </c>
      <c r="Q150"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88</v>
      </c>
      <c r="R150"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120</v>
      </c>
      <c r="S150" s="35">
        <f>IF(Tabel_prc_2022[[#This Row],[procedure - forfait VdM II]]="n.v.t.",0,  Tabel_prc_2022[[#This Row],[procedure - aantal 0 punten]] * (Tabel_prc_2022[[#This Row],[procedure - forfait VdM II]] - Tabel_prc_2022[[#This Row],[procedure - forfait VdM I]]))</f>
        <v>0</v>
      </c>
      <c r="T150"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1235</v>
      </c>
      <c r="U150"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1275</v>
      </c>
      <c r="V150" s="109">
        <f>Tabel_prc_2022[[#This Row],[procedure - totaal extra punten toev. VdM II t.o.v. huidig]] * tarief_huidig</f>
        <v>195235.01249999998</v>
      </c>
    </row>
    <row r="151" spans="2:24" x14ac:dyDescent="0.3">
      <c r="B151" s="1" t="s">
        <v>146</v>
      </c>
      <c r="C151" s="34" t="s">
        <v>5</v>
      </c>
      <c r="D151"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1359</v>
      </c>
      <c r="E151"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7330.5</v>
      </c>
      <c r="F151" s="91">
        <f>SUMIFS(Tabel_VAS2022[aantal_VAS],Tabel_VAS2022[Zaakcode],Tabel_prc_2022[[#This Row],[Zaakcode]],Tabel_VAS2022[Adviesofprocedure],"prc",Tabel_VAS2022[code_punten_forfait],10)</f>
        <v>0</v>
      </c>
      <c r="G151" s="92">
        <f>SUMIFS(Tabel_VAS2022[aantal_VAS],Tabel_VAS2022[Zaakcode],Tabel_prc_2022[[#This Row],[Zaakcode]],Tabel_VAS2022[Adviesofprocedure],"prc",Tabel_VAS2022[code_punten_forfait],11)</f>
        <v>377</v>
      </c>
      <c r="H151" s="92">
        <f>SUMIFS(Tabel_VAS2022[aantal_VAS],Tabel_VAS2022[Zaakcode],Tabel_prc_2022[[#This Row],[Zaakcode]],Tabel_VAS2022[Adviesofprocedure],"prc",Tabel_VAS2022[code_punten_forfait],13)</f>
        <v>3</v>
      </c>
      <c r="I151" s="92">
        <f>SUMIFS(Tabel_VAS2022[aantal_VAS],Tabel_VAS2022[Zaakcode],Tabel_prc_2022[[#This Row],[Zaakcode]],Tabel_VAS2022[Adviesofprocedure],"prc",Tabel_VAS2022[code_punten_forfait],14)</f>
        <v>8</v>
      </c>
      <c r="J151" s="92">
        <f>SUMIFS(Tabel_VAS2022[aantal_VAS],Tabel_VAS2022[Zaakcode],Tabel_prc_2022[[#This Row],[Zaakcode]],Tabel_VAS2022[Adviesofprocedure],"prc",Tabel_VAS2022[code_punten_forfait],12)</f>
        <v>905</v>
      </c>
      <c r="K151" s="92">
        <f>SUMIFS(Tabel_VAS2022[aantal_VAS],Tabel_VAS2022[Zaakcode],Tabel_prc_2022[[#This Row],[Zaakcode]],Tabel_VAS2022[Adviesofprocedure],"prc",Tabel_VAS2022[code_punten_forfait],15)</f>
        <v>57</v>
      </c>
      <c r="L151" s="92">
        <f>SUMIFS(Tabel_VAS2022[aantal_VAS],Tabel_VAS2022[Zaakcode],Tabel_prc_2022[[#This Row],[Zaakcode]],Tabel_VAS2022[Adviesofprocedure],"prc",Tabel_VAS2022[code_punten_forfait],16)</f>
        <v>9</v>
      </c>
      <c r="M151" s="35">
        <f>IFERROR(INDEX(Tabel_forfaits[forfait vanaf 2022],MATCH(Tabel_prc_2022[[#This Row],[Zaakcode]],Tabel_forfaits[Zaakcode],0)), "n.v.t.")</f>
        <v>6</v>
      </c>
      <c r="N151" s="35">
        <f>IFERROR(INDEX(Tabel_forfaits[forfait VdM II voor berekening],MATCH(Tabel_prc_2022[[#This Row],[Zaakcode]],Tabel_forfaits[Zaakcode],0)), "n.v.t.")</f>
        <v>7</v>
      </c>
      <c r="O151" s="36"/>
      <c r="P151"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1282</v>
      </c>
      <c r="Q151"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60</v>
      </c>
      <c r="R151"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25.5</v>
      </c>
      <c r="S151" s="35">
        <f>IF(Tabel_prc_2022[[#This Row],[procedure - forfait VdM II]]="n.v.t.",0,  Tabel_prc_2022[[#This Row],[procedure - aantal 0 punten]] * (Tabel_prc_2022[[#This Row],[procedure - forfait VdM II]] - Tabel_prc_2022[[#This Row],[procedure - forfait VdM I]]))</f>
        <v>0</v>
      </c>
      <c r="T151"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1359</v>
      </c>
      <c r="U151"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1367.5</v>
      </c>
      <c r="V151" s="109">
        <f>Tabel_prc_2022[[#This Row],[procedure - totaal extra punten toev. VdM II t.o.v. huidig]] * tarief_huidig</f>
        <v>209399.12125</v>
      </c>
    </row>
    <row r="152" spans="2:24" x14ac:dyDescent="0.3">
      <c r="B152" s="1" t="s">
        <v>147</v>
      </c>
      <c r="C152" s="34" t="s">
        <v>5</v>
      </c>
      <c r="D152"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46</v>
      </c>
      <c r="E152"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242</v>
      </c>
      <c r="F152" s="91">
        <f>SUMIFS(Tabel_VAS2022[aantal_VAS],Tabel_VAS2022[Zaakcode],Tabel_prc_2022[[#This Row],[Zaakcode]],Tabel_VAS2022[Adviesofprocedure],"prc",Tabel_VAS2022[code_punten_forfait],10)</f>
        <v>0</v>
      </c>
      <c r="G152" s="92">
        <f>SUMIFS(Tabel_VAS2022[aantal_VAS],Tabel_VAS2022[Zaakcode],Tabel_prc_2022[[#This Row],[Zaakcode]],Tabel_VAS2022[Adviesofprocedure],"prc",Tabel_VAS2022[code_punten_forfait],11)</f>
        <v>16</v>
      </c>
      <c r="H152" s="92">
        <f>SUMIFS(Tabel_VAS2022[aantal_VAS],Tabel_VAS2022[Zaakcode],Tabel_prc_2022[[#This Row],[Zaakcode]],Tabel_VAS2022[Adviesofprocedure],"prc",Tabel_VAS2022[code_punten_forfait],13)</f>
        <v>0</v>
      </c>
      <c r="I152" s="92">
        <f>SUMIFS(Tabel_VAS2022[aantal_VAS],Tabel_VAS2022[Zaakcode],Tabel_prc_2022[[#This Row],[Zaakcode]],Tabel_VAS2022[Adviesofprocedure],"prc",Tabel_VAS2022[code_punten_forfait],14)</f>
        <v>1</v>
      </c>
      <c r="J152" s="92">
        <f>SUMIFS(Tabel_VAS2022[aantal_VAS],Tabel_VAS2022[Zaakcode],Tabel_prc_2022[[#This Row],[Zaakcode]],Tabel_VAS2022[Adviesofprocedure],"prc",Tabel_VAS2022[code_punten_forfait],12)</f>
        <v>23</v>
      </c>
      <c r="K152" s="92">
        <f>SUMIFS(Tabel_VAS2022[aantal_VAS],Tabel_VAS2022[Zaakcode],Tabel_prc_2022[[#This Row],[Zaakcode]],Tabel_VAS2022[Adviesofprocedure],"prc",Tabel_VAS2022[code_punten_forfait],15)</f>
        <v>5</v>
      </c>
      <c r="L152" s="92">
        <f>SUMIFS(Tabel_VAS2022[aantal_VAS],Tabel_VAS2022[Zaakcode],Tabel_prc_2022[[#This Row],[Zaakcode]],Tabel_VAS2022[Adviesofprocedure],"prc",Tabel_VAS2022[code_punten_forfait],16)</f>
        <v>1</v>
      </c>
      <c r="M152" s="35">
        <f>IFERROR(INDEX(Tabel_forfaits[forfait vanaf 2022],MATCH(Tabel_prc_2022[[#This Row],[Zaakcode]],Tabel_forfaits[Zaakcode],0)), "n.v.t.")</f>
        <v>6</v>
      </c>
      <c r="N152" s="35">
        <f>IFERROR(INDEX(Tabel_forfaits[forfait VdM II voor berekening],MATCH(Tabel_prc_2022[[#This Row],[Zaakcode]],Tabel_forfaits[Zaakcode],0)), "n.v.t.")</f>
        <v>6</v>
      </c>
      <c r="O152" s="36"/>
      <c r="P152"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52"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52"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52" s="35">
        <f>IF(Tabel_prc_2022[[#This Row],[procedure - forfait VdM II]]="n.v.t.",0,  Tabel_prc_2022[[#This Row],[procedure - aantal 0 punten]] * (Tabel_prc_2022[[#This Row],[procedure - forfait VdM II]] - Tabel_prc_2022[[#This Row],[procedure - forfait VdM I]]))</f>
        <v>0</v>
      </c>
      <c r="T152"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46</v>
      </c>
      <c r="U152"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52" s="109">
        <f>Tabel_prc_2022[[#This Row],[procedure - totaal extra punten toev. VdM II t.o.v. huidig]] * tarief_huidig</f>
        <v>0</v>
      </c>
    </row>
    <row r="153" spans="2:24" x14ac:dyDescent="0.3">
      <c r="B153" s="1" t="s">
        <v>148</v>
      </c>
      <c r="C153" s="34" t="s">
        <v>5</v>
      </c>
      <c r="D153"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75</v>
      </c>
      <c r="E153"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429</v>
      </c>
      <c r="F153" s="91">
        <f>SUMIFS(Tabel_VAS2022[aantal_VAS],Tabel_VAS2022[Zaakcode],Tabel_prc_2022[[#This Row],[Zaakcode]],Tabel_VAS2022[Adviesofprocedure],"prc",Tabel_VAS2022[code_punten_forfait],10)</f>
        <v>0</v>
      </c>
      <c r="G153" s="92">
        <f>SUMIFS(Tabel_VAS2022[aantal_VAS],Tabel_VAS2022[Zaakcode],Tabel_prc_2022[[#This Row],[Zaakcode]],Tabel_VAS2022[Adviesofprocedure],"prc",Tabel_VAS2022[code_punten_forfait],11)</f>
        <v>24</v>
      </c>
      <c r="H153" s="92">
        <f>SUMIFS(Tabel_VAS2022[aantal_VAS],Tabel_VAS2022[Zaakcode],Tabel_prc_2022[[#This Row],[Zaakcode]],Tabel_VAS2022[Adviesofprocedure],"prc",Tabel_VAS2022[code_punten_forfait],13)</f>
        <v>0</v>
      </c>
      <c r="I153" s="92">
        <f>SUMIFS(Tabel_VAS2022[aantal_VAS],Tabel_VAS2022[Zaakcode],Tabel_prc_2022[[#This Row],[Zaakcode]],Tabel_VAS2022[Adviesofprocedure],"prc",Tabel_VAS2022[code_punten_forfait],14)</f>
        <v>1</v>
      </c>
      <c r="J153" s="92">
        <f>SUMIFS(Tabel_VAS2022[aantal_VAS],Tabel_VAS2022[Zaakcode],Tabel_prc_2022[[#This Row],[Zaakcode]],Tabel_VAS2022[Adviesofprocedure],"prc",Tabel_VAS2022[code_punten_forfait],12)</f>
        <v>36</v>
      </c>
      <c r="K153" s="92">
        <f>SUMIFS(Tabel_VAS2022[aantal_VAS],Tabel_VAS2022[Zaakcode],Tabel_prc_2022[[#This Row],[Zaakcode]],Tabel_VAS2022[Adviesofprocedure],"prc",Tabel_VAS2022[code_punten_forfait],15)</f>
        <v>6</v>
      </c>
      <c r="L153" s="92">
        <f>SUMIFS(Tabel_VAS2022[aantal_VAS],Tabel_VAS2022[Zaakcode],Tabel_prc_2022[[#This Row],[Zaakcode]],Tabel_VAS2022[Adviesofprocedure],"prc",Tabel_VAS2022[code_punten_forfait],16)</f>
        <v>8</v>
      </c>
      <c r="M153" s="35">
        <f>IFERROR(INDEX(Tabel_forfaits[forfait vanaf 2022],MATCH(Tabel_prc_2022[[#This Row],[Zaakcode]],Tabel_forfaits[Zaakcode],0)), "n.v.t.")</f>
        <v>6</v>
      </c>
      <c r="N153" s="35">
        <f>IFERROR(INDEX(Tabel_forfaits[forfait VdM II voor berekening],MATCH(Tabel_prc_2022[[#This Row],[Zaakcode]],Tabel_forfaits[Zaakcode],0)), "n.v.t.")</f>
        <v>6</v>
      </c>
      <c r="O153" s="36"/>
      <c r="P153"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0</v>
      </c>
      <c r="Q153"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0</v>
      </c>
      <c r="R153"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53" s="35">
        <f>IF(Tabel_prc_2022[[#This Row],[procedure - forfait VdM II]]="n.v.t.",0,  Tabel_prc_2022[[#This Row],[procedure - aantal 0 punten]] * (Tabel_prc_2022[[#This Row],[procedure - forfait VdM II]] - Tabel_prc_2022[[#This Row],[procedure - forfait VdM I]]))</f>
        <v>0</v>
      </c>
      <c r="T153"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75</v>
      </c>
      <c r="U153" s="116">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0</v>
      </c>
      <c r="V153" s="109">
        <f>Tabel_prc_2022[[#This Row],[procedure - totaal extra punten toev. VdM II t.o.v. huidig]] * tarief_huidig</f>
        <v>0</v>
      </c>
    </row>
    <row r="154" spans="2:24" ht="13.5" thickBot="1" x14ac:dyDescent="0.35">
      <c r="B154" s="1" t="s">
        <v>149</v>
      </c>
      <c r="C154" s="34" t="s">
        <v>5</v>
      </c>
      <c r="D154" s="91">
        <f>SUMIFS(Tabel_VAS2022[aantal_VAS],Tabel_VAS2022[Zaakcode],Tabel_prc_2022[[#This Row],[Zaakcode]],Tabel_VAS2022[Adviesofprocedure],"prc") - SUMIFS(Tabel_VAS2022[aantal_VAS],Tabel_VAS2022[Zaakcode],Tabel_prc_2022[[#This Row],[Zaakcode]],Tabel_VAS2022[Adviesofprocedure],"prc",Tabel_VAS2022[code_punten_forfait],0) - SUMIFS(Tabel_VAS2022[aantal_VAS],Tabel_VAS2022[Zaakcode],Tabel_prc_2022[[#This Row],[Zaakcode]],Tabel_VAS2022[Adviesofprocedure],"prc",Tabel_VAS2022[code_punten_forfait],98)</f>
        <v>559</v>
      </c>
      <c r="E154" s="91">
        <f>SUMIFS(Tabel_VAS2022[puntenbasis_SOM],Tabel_VAS2022[Zaakcode],Tabel_prc_2022[[#This Row],[Zaakcode]],Tabel_VAS2022[Adviesofprocedure],"prc") - SUMIFS(Tabel_VAS2022[puntenbasis_SOM],Tabel_VAS2022[Zaakcode],Tabel_prc_2022[[#This Row],[Zaakcode]],Tabel_VAS2022[Adviesofprocedure],"prc",Tabel_VAS2022[code_punten_forfait],0) - SUMIFS(Tabel_VAS2022[puntenbasis_SOM],Tabel_VAS2022[Zaakcode],Tabel_prc_2022[[#This Row],[Zaakcode]],Tabel_VAS2022[Adviesofprocedure],"prc",Tabel_VAS2022[code_punten_forfait],98)</f>
        <v>2427.6</v>
      </c>
      <c r="F154" s="91">
        <f>SUMIFS(Tabel_VAS2022[aantal_VAS],Tabel_VAS2022[Zaakcode],Tabel_prc_2022[[#This Row],[Zaakcode]],Tabel_VAS2022[Adviesofprocedure],"prc",Tabel_VAS2022[code_punten_forfait],10)</f>
        <v>0</v>
      </c>
      <c r="G154" s="92">
        <f>SUMIFS(Tabel_VAS2022[aantal_VAS],Tabel_VAS2022[Zaakcode],Tabel_prc_2022[[#This Row],[Zaakcode]],Tabel_VAS2022[Adviesofprocedure],"prc",Tabel_VAS2022[code_punten_forfait],11)</f>
        <v>181</v>
      </c>
      <c r="H154" s="92">
        <f>SUMIFS(Tabel_VAS2022[aantal_VAS],Tabel_VAS2022[Zaakcode],Tabel_prc_2022[[#This Row],[Zaakcode]],Tabel_VAS2022[Adviesofprocedure],"prc",Tabel_VAS2022[code_punten_forfait],13)</f>
        <v>0</v>
      </c>
      <c r="I154" s="92">
        <f>SUMIFS(Tabel_VAS2022[aantal_VAS],Tabel_VAS2022[Zaakcode],Tabel_prc_2022[[#This Row],[Zaakcode]],Tabel_VAS2022[Adviesofprocedure],"prc",Tabel_VAS2022[code_punten_forfait],14)</f>
        <v>0</v>
      </c>
      <c r="J154" s="92">
        <f>SUMIFS(Tabel_VAS2022[aantal_VAS],Tabel_VAS2022[Zaakcode],Tabel_prc_2022[[#This Row],[Zaakcode]],Tabel_VAS2022[Adviesofprocedure],"prc",Tabel_VAS2022[code_punten_forfait],12)</f>
        <v>375</v>
      </c>
      <c r="K154" s="92">
        <f>SUMIFS(Tabel_VAS2022[aantal_VAS],Tabel_VAS2022[Zaakcode],Tabel_prc_2022[[#This Row],[Zaakcode]],Tabel_VAS2022[Adviesofprocedure],"prc",Tabel_VAS2022[code_punten_forfait],15)</f>
        <v>3</v>
      </c>
      <c r="L154" s="92">
        <f>SUMIFS(Tabel_VAS2022[aantal_VAS],Tabel_VAS2022[Zaakcode],Tabel_prc_2022[[#This Row],[Zaakcode]],Tabel_VAS2022[Adviesofprocedure],"prc",Tabel_VAS2022[code_punten_forfait],16)</f>
        <v>0</v>
      </c>
      <c r="M154" s="35">
        <f>IFERROR(INDEX(Tabel_forfaits[forfait vanaf 2022],MATCH(Tabel_prc_2022[[#This Row],[Zaakcode]],Tabel_forfaits[Zaakcode],0)), "n.v.t.")</f>
        <v>5</v>
      </c>
      <c r="N154" s="35">
        <f>IFERROR(INDEX(Tabel_forfaits[forfait VdM II voor berekening],MATCH(Tabel_prc_2022[[#This Row],[Zaakcode]],Tabel_forfaits[Zaakcode],0)), "n.v.t.")</f>
        <v>6</v>
      </c>
      <c r="O154" s="36"/>
      <c r="P154" s="35">
        <f>IF(Tabel_prc_2022[[#This Row],[procedure - forfait VdM II]]="n.v.t.",0,  (Tabel_prc_2022[[#This Row],[procedure - voor 2022, aantal op forfait]] + Tabel_prc_2022[[#This Row],[procedure - vanaf 2022, aantal op forfait]]) * (Tabel_prc_2022[[#This Row],[procedure - forfait VdM II]] - Tabel_prc_2022[[#This Row],[procedure - forfait VdM I]]))</f>
        <v>556</v>
      </c>
      <c r="Q154" s="35">
        <f>IF(Tabel_prc_2022[[#This Row],[procedure - forfait VdM II]]="n.v.t.",0,  (Tabel_prc_2022[[#This Row],[procedure - voor 2022, aantal onder forfait]] + Tabel_prc_2022[[#This Row],[procedure - vanaf 2022, aantal onder forfait]]) * (Tabel_prc_2022[[#This Row],[procedure - forfait VdM II]] - Tabel_prc_2022[[#This Row],[procedure - forfait VdM I]]))</f>
        <v>3</v>
      </c>
      <c r="R154" s="35">
        <f>IF(Tabel_prc_2022[[#This Row],[procedure - forfait VdM II]]="n.v.t.",0,  (Tabel_prc_2022[[#This Row],[procedure - voor 2022, aantal boven forfait]] + Tabel_prc_2022[[#This Row],[procedure - vanaf 2022, aantal boven forfait]]) * (Tabel_prc_2022[[#This Row],[procedure - forfait VdM II]] - Tabel_prc_2022[[#This Row],[procedure - forfait VdM I]]) * factor_samenhang)</f>
        <v>0</v>
      </c>
      <c r="S154" s="35">
        <f>IF(Tabel_prc_2022[[#This Row],[procedure - forfait VdM II]]="n.v.t.",0,  Tabel_prc_2022[[#This Row],[procedure - aantal 0 punten]] * (Tabel_prc_2022[[#This Row],[procedure - forfait VdM II]] - Tabel_prc_2022[[#This Row],[procedure - forfait VdM I]]))</f>
        <v>0</v>
      </c>
      <c r="T154" s="115">
        <f>(Tabel_prc_2022[[#This Row],[procedure - voor 2022, aantal op forfait]]+Tabel_prc_2022[[#This Row],[procedure - vanaf 2022, aantal op forfait]])*knop_op_forfait  +  (Tabel_prc_2022[[#This Row],[procedure - voor 2022, aantal onder forfait]]+Tabel_prc_2022[[#This Row],[procedure - vanaf 2022, aantal onder forfait]])*knop_onder_forfait  +  (Tabel_prc_2022[[#This Row],[procedure - voor 2022, aantal boven forfait]]+Tabel_prc_2022[[#This Row],[procedure - vanaf 2022, aantal boven forfait]])*knop_boven_forfait  +  Tabel_prc_2022[[#This Row],[procedure - aantal 0 punten]]*knop_nul_forfait</f>
        <v>559</v>
      </c>
      <c r="U154" s="117">
        <f>Tabel_prc_2022[[#This Row],[procedure - max extra punten toev. op forfait]]*knop_op_forfait  +  Tabel_prc_2022[[#This Row],[procedure - max extra punten toev. onder forfait]]*knop_onder_forfait  +  Tabel_prc_2022[[#This Row],[procedure - max extra punten toev. boven forfait]]*knop_boven_forfait  +  Tabel_prc_2022[[#This Row],[procedure - max extra punten toev. nul forfait]]*knop_nul_forfait</f>
        <v>559</v>
      </c>
      <c r="V154" s="110">
        <f>Tabel_prc_2022[[#This Row],[procedure - totaal extra punten toev. VdM II t.o.v. huidig]] * tarief_huidig</f>
        <v>85597.15449999999</v>
      </c>
    </row>
    <row r="156" spans="2:24" x14ac:dyDescent="0.3">
      <c r="B156" s="1" t="s">
        <v>150</v>
      </c>
      <c r="D156" s="91">
        <f>SUM(Tabel_prc_2022[procedure - aantal vastgesteld])</f>
        <v>239528</v>
      </c>
      <c r="E156" s="91">
        <f>SUM(Tabel_prc_2022[procedure - aantal basispunten vastgesteld])</f>
        <v>1751369.1</v>
      </c>
      <c r="F156" s="91">
        <f>SUM(Tabel_prc_2022[procedure - aantal 0 punten])</f>
        <v>400</v>
      </c>
      <c r="G156" s="91">
        <f>SUM(Tabel_prc_2022[procedure - voor 2022, aantal op forfait])</f>
        <v>95365</v>
      </c>
      <c r="H156" s="91">
        <f>SUM(Tabel_prc_2022[procedure - voor 2022, aantal onder forfait])</f>
        <v>5669</v>
      </c>
      <c r="I156" s="91">
        <f>SUM(Tabel_prc_2022[procedure - voor 2022, aantal boven forfait])</f>
        <v>3033</v>
      </c>
      <c r="J156" s="91">
        <f>SUM(Tabel_prc_2022[procedure - vanaf 2022, aantal op forfait])</f>
        <v>123412</v>
      </c>
      <c r="K156" s="91">
        <f>SUM(Tabel_prc_2022[procedure - vanaf 2022, aantal onder forfait])</f>
        <v>7772</v>
      </c>
      <c r="L156" s="91">
        <f>SUM(Tabel_prc_2022[procedure - vanaf 2022, aantal boven forfait])</f>
        <v>3877</v>
      </c>
      <c r="M156" s="91">
        <f>SUM(Tabel_prc_2022[procedure - forfait VdM I])</f>
        <v>1239</v>
      </c>
      <c r="N156" s="91">
        <f>SUM(Tabel_prc_2022[procedure - forfait VdM II])</f>
        <v>1310</v>
      </c>
      <c r="O156" s="91"/>
      <c r="P156" s="91">
        <f>SUM(Tabel_prc_2022[procedure - max extra punten toev. op forfait])</f>
        <v>71651</v>
      </c>
      <c r="Q156" s="91">
        <f>SUM(Tabel_prc_2022[procedure - max extra punten toev. onder forfait])</f>
        <v>5098</v>
      </c>
      <c r="R156" s="91">
        <f>SUM(Tabel_prc_2022[procedure - max extra punten toev. boven forfait])</f>
        <v>2250</v>
      </c>
      <c r="S156" s="91">
        <f>SUM(Tabel_prc_2022[procedure - max extra punten toev. nul forfait])</f>
        <v>-241</v>
      </c>
      <c r="T156" s="91">
        <f>SUM(Tabel_prc_2022[procedure - aantal toev. mee in berekening])</f>
        <v>239128</v>
      </c>
      <c r="U156" s="91">
        <f>SUM(Tabel_prc_2022[procedure - totaal extra punten toev. VdM II t.o.v. huidig])</f>
        <v>78999</v>
      </c>
      <c r="V156" s="91">
        <f>SUM(Tabel_prc_2022[procedure - extra kosten door VdM II])</f>
        <v>12096761.374500001</v>
      </c>
      <c r="W156" s="91" t="e">
        <f>SUM(#REF!)</f>
        <v>#REF!</v>
      </c>
      <c r="X156" s="91" t="e">
        <f>SUM(#REF!)</f>
        <v>#REF!</v>
      </c>
    </row>
    <row r="159" spans="2:24" ht="13.5" thickBot="1" x14ac:dyDescent="0.35">
      <c r="B159" s="19" t="s">
        <v>151</v>
      </c>
    </row>
    <row r="160" spans="2:24" x14ac:dyDescent="0.3">
      <c r="B160" s="6"/>
      <c r="C160" s="7"/>
      <c r="D160" s="392" t="s">
        <v>152</v>
      </c>
      <c r="E160" s="392"/>
      <c r="F160" s="392"/>
      <c r="G160" s="392"/>
      <c r="H160" s="392"/>
      <c r="I160" s="392"/>
      <c r="J160" s="393"/>
    </row>
    <row r="161" spans="2:11" x14ac:dyDescent="0.3">
      <c r="B161" s="8" t="s">
        <v>153</v>
      </c>
      <c r="C161" s="5" t="s">
        <v>154</v>
      </c>
      <c r="D161" s="16" t="s">
        <v>155</v>
      </c>
      <c r="E161" s="16" t="s">
        <v>156</v>
      </c>
      <c r="F161" s="16" t="s">
        <v>157</v>
      </c>
      <c r="G161" s="16" t="s">
        <v>158</v>
      </c>
      <c r="H161" s="16" t="s">
        <v>159</v>
      </c>
      <c r="I161" s="16" t="s">
        <v>160</v>
      </c>
      <c r="J161" s="9" t="s">
        <v>161</v>
      </c>
    </row>
    <row r="162" spans="2:11" x14ac:dyDescent="0.3">
      <c r="B162" s="10" t="s">
        <v>162</v>
      </c>
      <c r="C162" s="14" t="s">
        <v>163</v>
      </c>
      <c r="D162" s="17">
        <v>0</v>
      </c>
      <c r="E162" s="17">
        <v>10</v>
      </c>
      <c r="F162" s="17">
        <v>20</v>
      </c>
      <c r="G162" s="17">
        <v>30</v>
      </c>
      <c r="H162" s="17">
        <v>40</v>
      </c>
      <c r="I162" s="17"/>
      <c r="J162" s="12"/>
    </row>
    <row r="163" spans="2:11" x14ac:dyDescent="0.3">
      <c r="B163" s="10" t="s">
        <v>164</v>
      </c>
      <c r="C163" s="14" t="s">
        <v>165</v>
      </c>
      <c r="D163" s="17"/>
      <c r="E163" s="17">
        <v>11</v>
      </c>
      <c r="F163" s="17">
        <v>21</v>
      </c>
      <c r="G163" s="17">
        <v>31</v>
      </c>
      <c r="H163" s="17">
        <v>41</v>
      </c>
      <c r="I163" s="17"/>
      <c r="J163" s="12"/>
    </row>
    <row r="164" spans="2:11" x14ac:dyDescent="0.3">
      <c r="B164" s="10" t="s">
        <v>166</v>
      </c>
      <c r="C164" s="14" t="s">
        <v>165</v>
      </c>
      <c r="D164" s="17"/>
      <c r="E164" s="17">
        <v>12</v>
      </c>
      <c r="F164" s="17">
        <v>22</v>
      </c>
      <c r="G164" s="17">
        <v>32</v>
      </c>
      <c r="H164" s="17">
        <v>42</v>
      </c>
      <c r="I164" s="17"/>
      <c r="J164" s="12"/>
    </row>
    <row r="165" spans="2:11" x14ac:dyDescent="0.3">
      <c r="B165" s="10" t="s">
        <v>164</v>
      </c>
      <c r="C165" s="14" t="s">
        <v>167</v>
      </c>
      <c r="D165" s="17"/>
      <c r="E165" s="17">
        <v>13</v>
      </c>
      <c r="F165" s="17">
        <v>23</v>
      </c>
      <c r="G165" s="17">
        <v>33</v>
      </c>
      <c r="H165" s="17">
        <v>43</v>
      </c>
      <c r="I165" s="17"/>
      <c r="J165" s="12"/>
    </row>
    <row r="166" spans="2:11" x14ac:dyDescent="0.3">
      <c r="B166" s="10" t="s">
        <v>164</v>
      </c>
      <c r="C166" s="14" t="s">
        <v>168</v>
      </c>
      <c r="D166" s="17"/>
      <c r="E166" s="17">
        <v>14</v>
      </c>
      <c r="F166" s="17">
        <v>24</v>
      </c>
      <c r="G166" s="17">
        <v>34</v>
      </c>
      <c r="H166" s="17">
        <v>44</v>
      </c>
      <c r="I166" s="17"/>
      <c r="J166" s="12"/>
    </row>
    <row r="167" spans="2:11" x14ac:dyDescent="0.3">
      <c r="B167" s="10" t="s">
        <v>166</v>
      </c>
      <c r="C167" s="14" t="s">
        <v>167</v>
      </c>
      <c r="D167" s="17"/>
      <c r="E167" s="17">
        <v>15</v>
      </c>
      <c r="F167" s="17">
        <v>25</v>
      </c>
      <c r="G167" s="17">
        <v>35</v>
      </c>
      <c r="H167" s="17">
        <v>45</v>
      </c>
      <c r="I167" s="17"/>
      <c r="J167" s="12"/>
    </row>
    <row r="168" spans="2:11" x14ac:dyDescent="0.3">
      <c r="B168" s="10" t="s">
        <v>166</v>
      </c>
      <c r="C168" s="14" t="s">
        <v>168</v>
      </c>
      <c r="D168" s="17"/>
      <c r="E168" s="17">
        <v>16</v>
      </c>
      <c r="F168" s="17">
        <v>26</v>
      </c>
      <c r="G168" s="17">
        <v>36</v>
      </c>
      <c r="H168" s="17">
        <v>46</v>
      </c>
      <c r="I168" s="17"/>
      <c r="J168" s="12"/>
    </row>
    <row r="169" spans="2:11" ht="13.5" thickBot="1" x14ac:dyDescent="0.35">
      <c r="B169" s="11" t="s">
        <v>162</v>
      </c>
      <c r="C169" s="15" t="s">
        <v>161</v>
      </c>
      <c r="D169" s="18"/>
      <c r="E169" s="18"/>
      <c r="F169" s="18"/>
      <c r="G169" s="18"/>
      <c r="H169" s="18"/>
      <c r="I169" s="18">
        <v>50</v>
      </c>
      <c r="J169" s="13">
        <v>98</v>
      </c>
      <c r="K169" s="20" t="s">
        <v>169</v>
      </c>
    </row>
    <row r="171" spans="2:11" x14ac:dyDescent="0.3">
      <c r="B171" s="1" t="s">
        <v>170</v>
      </c>
    </row>
    <row r="172" spans="2:11" x14ac:dyDescent="0.3">
      <c r="B172" s="1" t="s">
        <v>171</v>
      </c>
    </row>
    <row r="173" spans="2:11" x14ac:dyDescent="0.3">
      <c r="B173" s="1" t="s">
        <v>172</v>
      </c>
    </row>
    <row r="174" spans="2:11" x14ac:dyDescent="0.3">
      <c r="B174" s="1" t="s">
        <v>173</v>
      </c>
    </row>
    <row r="175" spans="2:11" x14ac:dyDescent="0.3">
      <c r="B175" s="1" t="s">
        <v>174</v>
      </c>
    </row>
    <row r="176" spans="2:11" x14ac:dyDescent="0.3">
      <c r="B176" s="1" t="s">
        <v>175</v>
      </c>
    </row>
    <row r="177" spans="2:2" x14ac:dyDescent="0.3">
      <c r="B177" s="1" t="s">
        <v>176</v>
      </c>
    </row>
    <row r="178" spans="2:2" x14ac:dyDescent="0.3">
      <c r="B178" s="1" t="s">
        <v>177</v>
      </c>
    </row>
  </sheetData>
  <sheetProtection formatCells="0" formatColumns="0" formatRows="0" autoFilter="0"/>
  <mergeCells count="3">
    <mergeCell ref="D160:J160"/>
    <mergeCell ref="G4:I4"/>
    <mergeCell ref="J4:L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2ED8D-FD5C-4C6F-B8EE-FD78A52497BE}">
  <dimension ref="A2:X178"/>
  <sheetViews>
    <sheetView showGridLines="0" workbookViewId="0">
      <pane xSplit="2" ySplit="6" topLeftCell="C7" activePane="bottomRight" state="frozen"/>
      <selection pane="topRight" activeCell="C1" sqref="C1"/>
      <selection pane="bottomLeft" activeCell="A3" sqref="A3"/>
      <selection pane="bottomRight"/>
    </sheetView>
  </sheetViews>
  <sheetFormatPr defaultColWidth="9.1796875" defaultRowHeight="13" x14ac:dyDescent="0.3"/>
  <cols>
    <col min="1" max="1" width="4.6328125" style="1" customWidth="1"/>
    <col min="2" max="2" width="10.26953125" style="1" customWidth="1"/>
    <col min="3" max="3" width="13.54296875" style="1" customWidth="1"/>
    <col min="4" max="14" width="15" style="1" customWidth="1"/>
    <col min="15" max="15" width="3.1796875" style="1" customWidth="1"/>
    <col min="16" max="19" width="15" style="1" customWidth="1"/>
    <col min="20" max="20" width="15.453125" style="1" customWidth="1"/>
    <col min="21" max="21" width="16.7265625" style="1" customWidth="1"/>
    <col min="22" max="29" width="15" style="1" customWidth="1"/>
    <col min="30" max="16384" width="9.1796875" style="1"/>
  </cols>
  <sheetData>
    <row r="2" spans="1:24" ht="15.5" x14ac:dyDescent="0.35">
      <c r="B2" s="370" t="s">
        <v>710</v>
      </c>
    </row>
    <row r="4" spans="1:24" x14ac:dyDescent="0.3">
      <c r="F4" s="112" t="s">
        <v>447</v>
      </c>
      <c r="G4" s="394" t="s">
        <v>426</v>
      </c>
      <c r="H4" s="395"/>
      <c r="I4" s="396"/>
      <c r="J4" s="394" t="s">
        <v>427</v>
      </c>
      <c r="K4" s="395"/>
      <c r="L4" s="396"/>
      <c r="P4" s="19" t="str">
        <f>'forfaits 2022'!P4</f>
        <v>Berekeningen aantal extra punten VdM II t.o.v. huidige situatie (uitgegaan van wat huidige forfait zou zijn, alsof voor alle toevoegingen het forfait van na 2022 is toegekend)</v>
      </c>
      <c r="V4" s="19"/>
    </row>
    <row r="5" spans="1:24" ht="39.5" thickBot="1" x14ac:dyDescent="0.35">
      <c r="B5" s="1" t="s">
        <v>693</v>
      </c>
      <c r="D5" s="21" t="s">
        <v>451</v>
      </c>
      <c r="E5" s="34" t="s">
        <v>428</v>
      </c>
      <c r="F5" s="21" t="s">
        <v>450</v>
      </c>
      <c r="G5" s="34" t="s">
        <v>429</v>
      </c>
      <c r="H5" s="34" t="s">
        <v>430</v>
      </c>
      <c r="I5" s="34" t="s">
        <v>431</v>
      </c>
      <c r="J5" s="34" t="s">
        <v>432</v>
      </c>
      <c r="K5" s="34" t="s">
        <v>433</v>
      </c>
      <c r="L5" s="34" t="s">
        <v>434</v>
      </c>
      <c r="M5" s="34" t="s">
        <v>435</v>
      </c>
      <c r="N5" s="34" t="s">
        <v>436</v>
      </c>
      <c r="O5" s="34"/>
      <c r="P5" s="21" t="s">
        <v>437</v>
      </c>
      <c r="Q5" s="21" t="s">
        <v>438</v>
      </c>
      <c r="R5" s="21" t="s">
        <v>439</v>
      </c>
      <c r="S5" s="21" t="s">
        <v>440</v>
      </c>
      <c r="T5" s="21" t="s">
        <v>446</v>
      </c>
      <c r="U5" s="21" t="s">
        <v>445</v>
      </c>
      <c r="V5" s="21" t="s">
        <v>444</v>
      </c>
      <c r="W5" s="111"/>
      <c r="X5" s="111"/>
    </row>
    <row r="6" spans="1:24" ht="52" x14ac:dyDescent="0.3">
      <c r="B6" s="88" t="s">
        <v>0</v>
      </c>
      <c r="C6" s="87" t="s">
        <v>1</v>
      </c>
      <c r="D6" s="87" t="s">
        <v>394</v>
      </c>
      <c r="E6" s="87" t="s">
        <v>395</v>
      </c>
      <c r="F6" s="21" t="s">
        <v>396</v>
      </c>
      <c r="G6" s="158" t="s">
        <v>397</v>
      </c>
      <c r="H6" s="159" t="s">
        <v>398</v>
      </c>
      <c r="I6" s="38" t="s">
        <v>399</v>
      </c>
      <c r="J6" s="158" t="s">
        <v>400</v>
      </c>
      <c r="K6" s="159" t="s">
        <v>401</v>
      </c>
      <c r="L6" s="38" t="s">
        <v>402</v>
      </c>
      <c r="M6" s="87" t="s">
        <v>404</v>
      </c>
      <c r="N6" s="87" t="s">
        <v>403</v>
      </c>
      <c r="O6" s="37" t="s">
        <v>452</v>
      </c>
      <c r="P6" s="38" t="s">
        <v>405</v>
      </c>
      <c r="Q6" s="38" t="s">
        <v>406</v>
      </c>
      <c r="R6" s="38" t="s">
        <v>407</v>
      </c>
      <c r="S6" s="38" t="s">
        <v>408</v>
      </c>
      <c r="T6" s="106" t="s">
        <v>409</v>
      </c>
      <c r="U6" s="107" t="s">
        <v>410</v>
      </c>
      <c r="V6" s="108" t="s">
        <v>411</v>
      </c>
    </row>
    <row r="7" spans="1:24" x14ac:dyDescent="0.3">
      <c r="A7"/>
      <c r="B7" s="1" t="s">
        <v>4</v>
      </c>
      <c r="C7" s="34" t="s">
        <v>5</v>
      </c>
      <c r="D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7" s="91">
        <f>SUMIFS(Tabel_VAS2023[aantal_VAS],Tabel_VAS2023[Zaakcode],Tabel_prc_2023[[#This Row],[Zaakcode]],Tabel_VAS2023[Adviesofprocedure],"prc",Tabel_VAS2023[code_punten_forfait],10)</f>
        <v>0</v>
      </c>
      <c r="G7" s="91">
        <f>SUMIFS(Tabel_VAS2023[aantal_VAS],Tabel_VAS2023[Zaakcode],Tabel_prc_2023[[#This Row],[Zaakcode]],Tabel_VAS2023[Adviesofprocedure],"prc",Tabel_VAS2023[code_punten_forfait],11)</f>
        <v>0</v>
      </c>
      <c r="H7" s="92">
        <f>SUMIFS(Tabel_VAS2023[aantal_VAS],Tabel_VAS2023[Zaakcode],Tabel_prc_2023[[#This Row],[Zaakcode]],Tabel_VAS2023[Adviesofprocedure],"prc",Tabel_VAS2023[code_punten_forfait],13)</f>
        <v>0</v>
      </c>
      <c r="I7" s="92">
        <f>SUMIFS(Tabel_VAS2023[aantal_VAS],Tabel_VAS2023[Zaakcode],Tabel_prc_2023[[#This Row],[Zaakcode]],Tabel_VAS2023[Adviesofprocedure],"prc",Tabel_VAS2023[code_punten_forfait],14)</f>
        <v>0</v>
      </c>
      <c r="J7" s="91">
        <f>SUMIFS(Tabel_VAS2023[aantal_VAS],Tabel_VAS2023[Zaakcode],Tabel_prc_2023[[#This Row],[Zaakcode]],Tabel_VAS2023[Adviesofprocedure],"prc",Tabel_VAS2023[code_punten_forfait],12)</f>
        <v>0</v>
      </c>
      <c r="K7" s="92">
        <f>SUMIFS(Tabel_VAS2023[aantal_VAS],Tabel_VAS2023[Zaakcode],Tabel_prc_2023[[#This Row],[Zaakcode]],Tabel_VAS2023[Adviesofprocedure],"prc",Tabel_VAS2023[code_punten_forfait],15)</f>
        <v>0</v>
      </c>
      <c r="L7" s="92">
        <f>SUMIFS(Tabel_VAS2023[aantal_VAS],Tabel_VAS2023[Zaakcode],Tabel_prc_2023[[#This Row],[Zaakcode]],Tabel_VAS2023[Adviesofprocedure],"prc",Tabel_VAS2023[code_punten_forfait],16)</f>
        <v>0</v>
      </c>
      <c r="M7" s="35" t="str">
        <f>IFERROR(INDEX(Tabel_forfaits[forfait vanaf 2022],MATCH(Tabel_prc_2023[[#This Row],[Zaakcode]],Tabel_forfaits[Zaakcode],0)), "n.v.t.")</f>
        <v>n.v.t.</v>
      </c>
      <c r="N7" s="35" t="str">
        <f>IFERROR(INDEX(Tabel_forfaits[forfait VdM II voor berekening],MATCH(Tabel_prc_2023[[#This Row],[Zaakcode]],Tabel_forfaits[Zaakcode],0)), "n.v.t.")</f>
        <v>n.v.t.</v>
      </c>
      <c r="O7" s="36"/>
      <c r="P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 s="35">
        <f>IF(Tabel_prc_2023[[#This Row],[procedure - forfait VdM II]]="n.v.t.",0,  Tabel_prc_2023[[#This Row],[procedure - aantal 0 punten]] * (Tabel_prc_2023[[#This Row],[procedure - forfait VdM II]] - Tabel_prc_2023[[#This Row],[procedure - forfait VdM I]]))</f>
        <v>0</v>
      </c>
      <c r="T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 s="109">
        <f>Tabel_prc_2023[[#This Row],[procedure - totaal extra punten toev. VdM II t.o.v. huidig]] * tarief_huidig</f>
        <v>0</v>
      </c>
    </row>
    <row r="8" spans="1:24" x14ac:dyDescent="0.3">
      <c r="A8"/>
      <c r="B8" s="1" t="s">
        <v>6</v>
      </c>
      <c r="C8" s="34" t="s">
        <v>5</v>
      </c>
      <c r="D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8" s="91">
        <f>SUMIFS(Tabel_VAS2023[aantal_VAS],Tabel_VAS2023[Zaakcode],Tabel_prc_2023[[#This Row],[Zaakcode]],Tabel_VAS2023[Adviesofprocedure],"prc",Tabel_VAS2023[code_punten_forfait],10)</f>
        <v>0</v>
      </c>
      <c r="G8" s="91">
        <f>SUMIFS(Tabel_VAS2023[aantal_VAS],Tabel_VAS2023[Zaakcode],Tabel_prc_2023[[#This Row],[Zaakcode]],Tabel_VAS2023[Adviesofprocedure],"prc",Tabel_VAS2023[code_punten_forfait],11)</f>
        <v>0</v>
      </c>
      <c r="H8" s="92">
        <f>SUMIFS(Tabel_VAS2023[aantal_VAS],Tabel_VAS2023[Zaakcode],Tabel_prc_2023[[#This Row],[Zaakcode]],Tabel_VAS2023[Adviesofprocedure],"prc",Tabel_VAS2023[code_punten_forfait],13)</f>
        <v>0</v>
      </c>
      <c r="I8" s="92">
        <f>SUMIFS(Tabel_VAS2023[aantal_VAS],Tabel_VAS2023[Zaakcode],Tabel_prc_2023[[#This Row],[Zaakcode]],Tabel_VAS2023[Adviesofprocedure],"prc",Tabel_VAS2023[code_punten_forfait],14)</f>
        <v>0</v>
      </c>
      <c r="J8" s="91">
        <f>SUMIFS(Tabel_VAS2023[aantal_VAS],Tabel_VAS2023[Zaakcode],Tabel_prc_2023[[#This Row],[Zaakcode]],Tabel_VAS2023[Adviesofprocedure],"prc",Tabel_VAS2023[code_punten_forfait],12)</f>
        <v>0</v>
      </c>
      <c r="K8" s="92">
        <f>SUMIFS(Tabel_VAS2023[aantal_VAS],Tabel_VAS2023[Zaakcode],Tabel_prc_2023[[#This Row],[Zaakcode]],Tabel_VAS2023[Adviesofprocedure],"prc",Tabel_VAS2023[code_punten_forfait],15)</f>
        <v>0</v>
      </c>
      <c r="L8" s="92">
        <f>SUMIFS(Tabel_VAS2023[aantal_VAS],Tabel_VAS2023[Zaakcode],Tabel_prc_2023[[#This Row],[Zaakcode]],Tabel_VAS2023[Adviesofprocedure],"prc",Tabel_VAS2023[code_punten_forfait],16)</f>
        <v>0</v>
      </c>
      <c r="M8" s="35" t="str">
        <f>IFERROR(INDEX(Tabel_forfaits[forfait vanaf 2022],MATCH(Tabel_prc_2023[[#This Row],[Zaakcode]],Tabel_forfaits[Zaakcode],0)), "n.v.t.")</f>
        <v>n.v.t.</v>
      </c>
      <c r="N8" s="35" t="str">
        <f>IFERROR(INDEX(Tabel_forfaits[forfait VdM II voor berekening],MATCH(Tabel_prc_2023[[#This Row],[Zaakcode]],Tabel_forfaits[Zaakcode],0)), "n.v.t.")</f>
        <v>n.v.t.</v>
      </c>
      <c r="O8" s="36"/>
      <c r="P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8" s="35">
        <f>IF(Tabel_prc_2023[[#This Row],[procedure - forfait VdM II]]="n.v.t.",0,  Tabel_prc_2023[[#This Row],[procedure - aantal 0 punten]] * (Tabel_prc_2023[[#This Row],[procedure - forfait VdM II]] - Tabel_prc_2023[[#This Row],[procedure - forfait VdM I]]))</f>
        <v>0</v>
      </c>
      <c r="T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8" s="109">
        <f>Tabel_prc_2023[[#This Row],[procedure - totaal extra punten toev. VdM II t.o.v. huidig]] * tarief_huidig</f>
        <v>0</v>
      </c>
    </row>
    <row r="9" spans="1:24" x14ac:dyDescent="0.3">
      <c r="A9"/>
      <c r="B9" s="1" t="s">
        <v>7</v>
      </c>
      <c r="C9" s="34" t="s">
        <v>5</v>
      </c>
      <c r="D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417</v>
      </c>
      <c r="E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7360</v>
      </c>
      <c r="F9" s="91">
        <f>SUMIFS(Tabel_VAS2023[aantal_VAS],Tabel_VAS2023[Zaakcode],Tabel_prc_2023[[#This Row],[Zaakcode]],Tabel_VAS2023[Adviesofprocedure],"prc",Tabel_VAS2023[code_punten_forfait],10)</f>
        <v>1</v>
      </c>
      <c r="G9" s="91">
        <f>SUMIFS(Tabel_VAS2023[aantal_VAS],Tabel_VAS2023[Zaakcode],Tabel_prc_2023[[#This Row],[Zaakcode]],Tabel_VAS2023[Adviesofprocedure],"prc",Tabel_VAS2023[code_punten_forfait],11)</f>
        <v>28</v>
      </c>
      <c r="H9" s="92">
        <f>SUMIFS(Tabel_VAS2023[aantal_VAS],Tabel_VAS2023[Zaakcode],Tabel_prc_2023[[#This Row],[Zaakcode]],Tabel_VAS2023[Adviesofprocedure],"prc",Tabel_VAS2023[code_punten_forfait],13)</f>
        <v>0</v>
      </c>
      <c r="I9" s="160">
        <f>SUMIFS(Tabel_VAS2023[aantal_VAS],Tabel_VAS2023[Zaakcode],Tabel_prc_2023[[#This Row],[Zaakcode]],Tabel_VAS2023[Adviesofprocedure],"prc",Tabel_VAS2023[code_punten_forfait],14)</f>
        <v>1</v>
      </c>
      <c r="J9" s="91">
        <f>SUMIFS(Tabel_VAS2023[aantal_VAS],Tabel_VAS2023[Zaakcode],Tabel_prc_2023[[#This Row],[Zaakcode]],Tabel_VAS2023[Adviesofprocedure],"prc",Tabel_VAS2023[code_punten_forfait],12)</f>
        <v>354</v>
      </c>
      <c r="K9" s="92">
        <f>SUMIFS(Tabel_VAS2023[aantal_VAS],Tabel_VAS2023[Zaakcode],Tabel_prc_2023[[#This Row],[Zaakcode]],Tabel_VAS2023[Adviesofprocedure],"prc",Tabel_VAS2023[code_punten_forfait],15)</f>
        <v>33</v>
      </c>
      <c r="L9" s="160">
        <f>SUMIFS(Tabel_VAS2023[aantal_VAS],Tabel_VAS2023[Zaakcode],Tabel_prc_2023[[#This Row],[Zaakcode]],Tabel_VAS2023[Adviesofprocedure],"prc",Tabel_VAS2023[code_punten_forfait],16)</f>
        <v>0</v>
      </c>
      <c r="M9" s="35">
        <f>IFERROR(INDEX(Tabel_forfaits[forfait vanaf 2022],MATCH(Tabel_prc_2023[[#This Row],[Zaakcode]],Tabel_forfaits[Zaakcode],0)), "n.v.t.")</f>
        <v>19</v>
      </c>
      <c r="N9" s="35">
        <f>IFERROR(INDEX(Tabel_forfaits[forfait VdM II voor berekening],MATCH(Tabel_prc_2023[[#This Row],[Zaakcode]],Tabel_forfaits[Zaakcode],0)), "n.v.t.")</f>
        <v>24</v>
      </c>
      <c r="O9" s="36"/>
      <c r="P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1910</v>
      </c>
      <c r="Q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165</v>
      </c>
      <c r="R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7.5</v>
      </c>
      <c r="S9" s="35">
        <f>IF(Tabel_prc_2023[[#This Row],[procedure - forfait VdM II]]="n.v.t.",0,  Tabel_prc_2023[[#This Row],[procedure - aantal 0 punten]] * (Tabel_prc_2023[[#This Row],[procedure - forfait VdM II]] - Tabel_prc_2023[[#This Row],[procedure - forfait VdM I]]))</f>
        <v>5</v>
      </c>
      <c r="T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416</v>
      </c>
      <c r="U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2082.5</v>
      </c>
      <c r="V9" s="109">
        <f>Tabel_prc_2023[[#This Row],[procedure - totaal extra punten toev. VdM II t.o.v. huidig]] * tarief_huidig</f>
        <v>318883.85374999995</v>
      </c>
    </row>
    <row r="10" spans="1:24" x14ac:dyDescent="0.3">
      <c r="A10"/>
      <c r="B10" s="1" t="s">
        <v>8</v>
      </c>
      <c r="C10" s="34" t="s">
        <v>5</v>
      </c>
      <c r="D1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68</v>
      </c>
      <c r="E1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1491.5</v>
      </c>
      <c r="F10" s="91">
        <f>SUMIFS(Tabel_VAS2023[aantal_VAS],Tabel_VAS2023[Zaakcode],Tabel_prc_2023[[#This Row],[Zaakcode]],Tabel_VAS2023[Adviesofprocedure],"prc",Tabel_VAS2023[code_punten_forfait],10)</f>
        <v>0</v>
      </c>
      <c r="G10" s="91">
        <f>SUMIFS(Tabel_VAS2023[aantal_VAS],Tabel_VAS2023[Zaakcode],Tabel_prc_2023[[#This Row],[Zaakcode]],Tabel_VAS2023[Adviesofprocedure],"prc",Tabel_VAS2023[code_punten_forfait],11)</f>
        <v>4</v>
      </c>
      <c r="H10" s="92">
        <f>SUMIFS(Tabel_VAS2023[aantal_VAS],Tabel_VAS2023[Zaakcode],Tabel_prc_2023[[#This Row],[Zaakcode]],Tabel_VAS2023[Adviesofprocedure],"prc",Tabel_VAS2023[code_punten_forfait],13)</f>
        <v>0</v>
      </c>
      <c r="I10" s="92">
        <f>SUMIFS(Tabel_VAS2023[aantal_VAS],Tabel_VAS2023[Zaakcode],Tabel_prc_2023[[#This Row],[Zaakcode]],Tabel_VAS2023[Adviesofprocedure],"prc",Tabel_VAS2023[code_punten_forfait],14)</f>
        <v>0</v>
      </c>
      <c r="J10" s="91">
        <f>SUMIFS(Tabel_VAS2023[aantal_VAS],Tabel_VAS2023[Zaakcode],Tabel_prc_2023[[#This Row],[Zaakcode]],Tabel_VAS2023[Adviesofprocedure],"prc",Tabel_VAS2023[code_punten_forfait],12)</f>
        <v>62</v>
      </c>
      <c r="K10" s="92">
        <f>SUMIFS(Tabel_VAS2023[aantal_VAS],Tabel_VAS2023[Zaakcode],Tabel_prc_2023[[#This Row],[Zaakcode]],Tabel_VAS2023[Adviesofprocedure],"prc",Tabel_VAS2023[code_punten_forfait],15)</f>
        <v>2</v>
      </c>
      <c r="L10" s="92">
        <f>SUMIFS(Tabel_VAS2023[aantal_VAS],Tabel_VAS2023[Zaakcode],Tabel_prc_2023[[#This Row],[Zaakcode]],Tabel_VAS2023[Adviesofprocedure],"prc",Tabel_VAS2023[code_punten_forfait],16)</f>
        <v>0</v>
      </c>
      <c r="M10" s="35">
        <f>IFERROR(INDEX(Tabel_forfaits[forfait vanaf 2022],MATCH(Tabel_prc_2023[[#This Row],[Zaakcode]],Tabel_forfaits[Zaakcode],0)), "n.v.t.")</f>
        <v>23</v>
      </c>
      <c r="N10" s="35">
        <f>IFERROR(INDEX(Tabel_forfaits[forfait VdM II voor berekening],MATCH(Tabel_prc_2023[[#This Row],[Zaakcode]],Tabel_forfaits[Zaakcode],0)), "n.v.t.")</f>
        <v>23</v>
      </c>
      <c r="O10" s="36"/>
      <c r="P1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0" s="35">
        <f>IF(Tabel_prc_2023[[#This Row],[procedure - forfait VdM II]]="n.v.t.",0,  Tabel_prc_2023[[#This Row],[procedure - aantal 0 punten]] * (Tabel_prc_2023[[#This Row],[procedure - forfait VdM II]] - Tabel_prc_2023[[#This Row],[procedure - forfait VdM I]]))</f>
        <v>0</v>
      </c>
      <c r="T1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68</v>
      </c>
      <c r="U1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0" s="109">
        <f>Tabel_prc_2023[[#This Row],[procedure - totaal extra punten toev. VdM II t.o.v. huidig]] * tarief_huidig</f>
        <v>0</v>
      </c>
    </row>
    <row r="11" spans="1:24" x14ac:dyDescent="0.3">
      <c r="A11"/>
      <c r="B11" s="1" t="s">
        <v>9</v>
      </c>
      <c r="C11" s="34" t="s">
        <v>5</v>
      </c>
      <c r="D1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57</v>
      </c>
      <c r="E1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596.70000000000005</v>
      </c>
      <c r="F11" s="91">
        <f>SUMIFS(Tabel_VAS2023[aantal_VAS],Tabel_VAS2023[Zaakcode],Tabel_prc_2023[[#This Row],[Zaakcode]],Tabel_VAS2023[Adviesofprocedure],"prc",Tabel_VAS2023[code_punten_forfait],10)</f>
        <v>1</v>
      </c>
      <c r="G11" s="91">
        <f>SUMIFS(Tabel_VAS2023[aantal_VAS],Tabel_VAS2023[Zaakcode],Tabel_prc_2023[[#This Row],[Zaakcode]],Tabel_VAS2023[Adviesofprocedure],"prc",Tabel_VAS2023[code_punten_forfait],11)</f>
        <v>5</v>
      </c>
      <c r="H11" s="92">
        <f>SUMIFS(Tabel_VAS2023[aantal_VAS],Tabel_VAS2023[Zaakcode],Tabel_prc_2023[[#This Row],[Zaakcode]],Tabel_VAS2023[Adviesofprocedure],"prc",Tabel_VAS2023[code_punten_forfait],13)</f>
        <v>0</v>
      </c>
      <c r="I11" s="92">
        <f>SUMIFS(Tabel_VAS2023[aantal_VAS],Tabel_VAS2023[Zaakcode],Tabel_prc_2023[[#This Row],[Zaakcode]],Tabel_VAS2023[Adviesofprocedure],"prc",Tabel_VAS2023[code_punten_forfait],14)</f>
        <v>0</v>
      </c>
      <c r="J11" s="91">
        <f>SUMIFS(Tabel_VAS2023[aantal_VAS],Tabel_VAS2023[Zaakcode],Tabel_prc_2023[[#This Row],[Zaakcode]],Tabel_VAS2023[Adviesofprocedure],"prc",Tabel_VAS2023[code_punten_forfait],12)</f>
        <v>49</v>
      </c>
      <c r="K11" s="92">
        <f>SUMIFS(Tabel_VAS2023[aantal_VAS],Tabel_VAS2023[Zaakcode],Tabel_prc_2023[[#This Row],[Zaakcode]],Tabel_VAS2023[Adviesofprocedure],"prc",Tabel_VAS2023[code_punten_forfait],15)</f>
        <v>1</v>
      </c>
      <c r="L11" s="92">
        <f>SUMIFS(Tabel_VAS2023[aantal_VAS],Tabel_VAS2023[Zaakcode],Tabel_prc_2023[[#This Row],[Zaakcode]],Tabel_VAS2023[Adviesofprocedure],"prc",Tabel_VAS2023[code_punten_forfait],16)</f>
        <v>1</v>
      </c>
      <c r="M11" s="35">
        <f>IFERROR(INDEX(Tabel_forfaits[forfait vanaf 2022],MATCH(Tabel_prc_2023[[#This Row],[Zaakcode]],Tabel_forfaits[Zaakcode],0)), "n.v.t.")</f>
        <v>11</v>
      </c>
      <c r="N11" s="35">
        <f>IFERROR(INDEX(Tabel_forfaits[forfait VdM II voor berekening],MATCH(Tabel_prc_2023[[#This Row],[Zaakcode]],Tabel_forfaits[Zaakcode],0)), "n.v.t.")</f>
        <v>13</v>
      </c>
      <c r="O11" s="36"/>
      <c r="P1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108</v>
      </c>
      <c r="Q1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v>
      </c>
      <c r="R1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1" s="35">
        <f>IF(Tabel_prc_2023[[#This Row],[procedure - forfait VdM II]]="n.v.t.",0,  Tabel_prc_2023[[#This Row],[procedure - aantal 0 punten]] * (Tabel_prc_2023[[#This Row],[procedure - forfait VdM II]] - Tabel_prc_2023[[#This Row],[procedure - forfait VdM I]]))</f>
        <v>2</v>
      </c>
      <c r="T1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56</v>
      </c>
      <c r="U1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113</v>
      </c>
      <c r="V11" s="109">
        <f>Tabel_prc_2023[[#This Row],[procedure - totaal extra punten toev. VdM II t.o.v. huidig]] * tarief_huidig</f>
        <v>17303.181499999999</v>
      </c>
    </row>
    <row r="12" spans="1:24" x14ac:dyDescent="0.3">
      <c r="A12"/>
      <c r="B12" s="1" t="s">
        <v>10</v>
      </c>
      <c r="C12" s="34" t="s">
        <v>5</v>
      </c>
      <c r="D1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222</v>
      </c>
      <c r="E1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3027.3</v>
      </c>
      <c r="F12" s="91">
        <f>SUMIFS(Tabel_VAS2023[aantal_VAS],Tabel_VAS2023[Zaakcode],Tabel_prc_2023[[#This Row],[Zaakcode]],Tabel_VAS2023[Adviesofprocedure],"prc",Tabel_VAS2023[code_punten_forfait],10)</f>
        <v>0</v>
      </c>
      <c r="G12" s="91">
        <f>SUMIFS(Tabel_VAS2023[aantal_VAS],Tabel_VAS2023[Zaakcode],Tabel_prc_2023[[#This Row],[Zaakcode]],Tabel_VAS2023[Adviesofprocedure],"prc",Tabel_VAS2023[code_punten_forfait],11)</f>
        <v>11</v>
      </c>
      <c r="H12" s="92">
        <f>SUMIFS(Tabel_VAS2023[aantal_VAS],Tabel_VAS2023[Zaakcode],Tabel_prc_2023[[#This Row],[Zaakcode]],Tabel_VAS2023[Adviesofprocedure],"prc",Tabel_VAS2023[code_punten_forfait],13)</f>
        <v>0</v>
      </c>
      <c r="I12" s="92">
        <f>SUMIFS(Tabel_VAS2023[aantal_VAS],Tabel_VAS2023[Zaakcode],Tabel_prc_2023[[#This Row],[Zaakcode]],Tabel_VAS2023[Adviesofprocedure],"prc",Tabel_VAS2023[code_punten_forfait],14)</f>
        <v>0</v>
      </c>
      <c r="J12" s="91">
        <f>SUMIFS(Tabel_VAS2023[aantal_VAS],Tabel_VAS2023[Zaakcode],Tabel_prc_2023[[#This Row],[Zaakcode]],Tabel_VAS2023[Adviesofprocedure],"prc",Tabel_VAS2023[code_punten_forfait],12)</f>
        <v>151</v>
      </c>
      <c r="K12" s="92">
        <f>SUMIFS(Tabel_VAS2023[aantal_VAS],Tabel_VAS2023[Zaakcode],Tabel_prc_2023[[#This Row],[Zaakcode]],Tabel_VAS2023[Adviesofprocedure],"prc",Tabel_VAS2023[code_punten_forfait],15)</f>
        <v>58</v>
      </c>
      <c r="L12" s="92">
        <f>SUMIFS(Tabel_VAS2023[aantal_VAS],Tabel_VAS2023[Zaakcode],Tabel_prc_2023[[#This Row],[Zaakcode]],Tabel_VAS2023[Adviesofprocedure],"prc",Tabel_VAS2023[code_punten_forfait],16)</f>
        <v>2</v>
      </c>
      <c r="M12" s="35">
        <f>IFERROR(INDEX(Tabel_forfaits[forfait vanaf 2022],MATCH(Tabel_prc_2023[[#This Row],[Zaakcode]],Tabel_forfaits[Zaakcode],0)), "n.v.t.")</f>
        <v>16</v>
      </c>
      <c r="N12" s="35">
        <f>IFERROR(INDEX(Tabel_forfaits[forfait VdM II voor berekening],MATCH(Tabel_prc_2023[[#This Row],[Zaakcode]],Tabel_forfaits[Zaakcode],0)), "n.v.t.")</f>
        <v>24</v>
      </c>
      <c r="O12" s="36"/>
      <c r="P1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1296</v>
      </c>
      <c r="Q1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464</v>
      </c>
      <c r="R1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24</v>
      </c>
      <c r="S12" s="35">
        <f>IF(Tabel_prc_2023[[#This Row],[procedure - forfait VdM II]]="n.v.t.",0,  Tabel_prc_2023[[#This Row],[procedure - aantal 0 punten]] * (Tabel_prc_2023[[#This Row],[procedure - forfait VdM II]] - Tabel_prc_2023[[#This Row],[procedure - forfait VdM I]]))</f>
        <v>0</v>
      </c>
      <c r="T1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222</v>
      </c>
      <c r="U1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1784</v>
      </c>
      <c r="V12" s="109">
        <f>Tabel_prc_2023[[#This Row],[procedure - totaal extra punten toev. VdM II t.o.v. huidig]] * tarief_huidig</f>
        <v>273175.89199999999</v>
      </c>
    </row>
    <row r="13" spans="1:24" x14ac:dyDescent="0.3">
      <c r="A13"/>
      <c r="B13" s="1" t="s">
        <v>11</v>
      </c>
      <c r="C13" s="34" t="s">
        <v>5</v>
      </c>
      <c r="D1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233</v>
      </c>
      <c r="E1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3968.5</v>
      </c>
      <c r="F13" s="91">
        <f>SUMIFS(Tabel_VAS2023[aantal_VAS],Tabel_VAS2023[Zaakcode],Tabel_prc_2023[[#This Row],[Zaakcode]],Tabel_VAS2023[Adviesofprocedure],"prc",Tabel_VAS2023[code_punten_forfait],10)</f>
        <v>0</v>
      </c>
      <c r="G13" s="91">
        <f>SUMIFS(Tabel_VAS2023[aantal_VAS],Tabel_VAS2023[Zaakcode],Tabel_prc_2023[[#This Row],[Zaakcode]],Tabel_VAS2023[Adviesofprocedure],"prc",Tabel_VAS2023[code_punten_forfait],11)</f>
        <v>32</v>
      </c>
      <c r="H13" s="92">
        <f>SUMIFS(Tabel_VAS2023[aantal_VAS],Tabel_VAS2023[Zaakcode],Tabel_prc_2023[[#This Row],[Zaakcode]],Tabel_VAS2023[Adviesofprocedure],"prc",Tabel_VAS2023[code_punten_forfait],13)</f>
        <v>0</v>
      </c>
      <c r="I13" s="92">
        <f>SUMIFS(Tabel_VAS2023[aantal_VAS],Tabel_VAS2023[Zaakcode],Tabel_prc_2023[[#This Row],[Zaakcode]],Tabel_VAS2023[Adviesofprocedure],"prc",Tabel_VAS2023[code_punten_forfait],14)</f>
        <v>1</v>
      </c>
      <c r="J13" s="91">
        <f>SUMIFS(Tabel_VAS2023[aantal_VAS],Tabel_VAS2023[Zaakcode],Tabel_prc_2023[[#This Row],[Zaakcode]],Tabel_VAS2023[Adviesofprocedure],"prc",Tabel_VAS2023[code_punten_forfait],12)</f>
        <v>163</v>
      </c>
      <c r="K13" s="92">
        <f>SUMIFS(Tabel_VAS2023[aantal_VAS],Tabel_VAS2023[Zaakcode],Tabel_prc_2023[[#This Row],[Zaakcode]],Tabel_VAS2023[Adviesofprocedure],"prc",Tabel_VAS2023[code_punten_forfait],15)</f>
        <v>35</v>
      </c>
      <c r="L13" s="92">
        <f>SUMIFS(Tabel_VAS2023[aantal_VAS],Tabel_VAS2023[Zaakcode],Tabel_prc_2023[[#This Row],[Zaakcode]],Tabel_VAS2023[Adviesofprocedure],"prc",Tabel_VAS2023[code_punten_forfait],16)</f>
        <v>2</v>
      </c>
      <c r="M13" s="35">
        <f>IFERROR(INDEX(Tabel_forfaits[forfait vanaf 2022],MATCH(Tabel_prc_2023[[#This Row],[Zaakcode]],Tabel_forfaits[Zaakcode],0)), "n.v.t.")</f>
        <v>20</v>
      </c>
      <c r="N13" s="35">
        <f>IFERROR(INDEX(Tabel_forfaits[forfait VdM II voor berekening],MATCH(Tabel_prc_2023[[#This Row],[Zaakcode]],Tabel_forfaits[Zaakcode],0)), "n.v.t.")</f>
        <v>20</v>
      </c>
      <c r="O13" s="36"/>
      <c r="P1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 s="35">
        <f>IF(Tabel_prc_2023[[#This Row],[procedure - forfait VdM II]]="n.v.t.",0,  Tabel_prc_2023[[#This Row],[procedure - aantal 0 punten]] * (Tabel_prc_2023[[#This Row],[procedure - forfait VdM II]] - Tabel_prc_2023[[#This Row],[procedure - forfait VdM I]]))</f>
        <v>0</v>
      </c>
      <c r="T1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233</v>
      </c>
      <c r="U1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 s="109">
        <f>Tabel_prc_2023[[#This Row],[procedure - totaal extra punten toev. VdM II t.o.v. huidig]] * tarief_huidig</f>
        <v>0</v>
      </c>
    </row>
    <row r="14" spans="1:24" x14ac:dyDescent="0.3">
      <c r="A14"/>
      <c r="B14" s="1" t="s">
        <v>12</v>
      </c>
      <c r="C14" s="34" t="s">
        <v>5</v>
      </c>
      <c r="D1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791</v>
      </c>
      <c r="E1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11874.2</v>
      </c>
      <c r="F14" s="91">
        <f>SUMIFS(Tabel_VAS2023[aantal_VAS],Tabel_VAS2023[Zaakcode],Tabel_prc_2023[[#This Row],[Zaakcode]],Tabel_VAS2023[Adviesofprocedure],"prc",Tabel_VAS2023[code_punten_forfait],10)</f>
        <v>17</v>
      </c>
      <c r="G14" s="91">
        <f>SUMIFS(Tabel_VAS2023[aantal_VAS],Tabel_VAS2023[Zaakcode],Tabel_prc_2023[[#This Row],[Zaakcode]],Tabel_VAS2023[Adviesofprocedure],"prc",Tabel_VAS2023[code_punten_forfait],11)</f>
        <v>125</v>
      </c>
      <c r="H14" s="92">
        <f>SUMIFS(Tabel_VAS2023[aantal_VAS],Tabel_VAS2023[Zaakcode],Tabel_prc_2023[[#This Row],[Zaakcode]],Tabel_VAS2023[Adviesofprocedure],"prc",Tabel_VAS2023[code_punten_forfait],13)</f>
        <v>14</v>
      </c>
      <c r="I14" s="92">
        <f>SUMIFS(Tabel_VAS2023[aantal_VAS],Tabel_VAS2023[Zaakcode],Tabel_prc_2023[[#This Row],[Zaakcode]],Tabel_VAS2023[Adviesofprocedure],"prc",Tabel_VAS2023[code_punten_forfait],14)</f>
        <v>1</v>
      </c>
      <c r="J14" s="91">
        <f>SUMIFS(Tabel_VAS2023[aantal_VAS],Tabel_VAS2023[Zaakcode],Tabel_prc_2023[[#This Row],[Zaakcode]],Tabel_VAS2023[Adviesofprocedure],"prc",Tabel_VAS2023[code_punten_forfait],12)</f>
        <v>588</v>
      </c>
      <c r="K14" s="92">
        <f>SUMIFS(Tabel_VAS2023[aantal_VAS],Tabel_VAS2023[Zaakcode],Tabel_prc_2023[[#This Row],[Zaakcode]],Tabel_VAS2023[Adviesofprocedure],"prc",Tabel_VAS2023[code_punten_forfait],15)</f>
        <v>45</v>
      </c>
      <c r="L14" s="92">
        <f>SUMIFS(Tabel_VAS2023[aantal_VAS],Tabel_VAS2023[Zaakcode],Tabel_prc_2023[[#This Row],[Zaakcode]],Tabel_VAS2023[Adviesofprocedure],"prc",Tabel_VAS2023[code_punten_forfait],16)</f>
        <v>1</v>
      </c>
      <c r="M14" s="35">
        <f>IFERROR(INDEX(Tabel_forfaits[forfait vanaf 2022],MATCH(Tabel_prc_2023[[#This Row],[Zaakcode]],Tabel_forfaits[Zaakcode],0)), "n.v.t.")</f>
        <v>17</v>
      </c>
      <c r="N14" s="35">
        <f>IFERROR(INDEX(Tabel_forfaits[forfait VdM II voor berekening],MATCH(Tabel_prc_2023[[#This Row],[Zaakcode]],Tabel_forfaits[Zaakcode],0)), "n.v.t.")</f>
        <v>18</v>
      </c>
      <c r="O14" s="36"/>
      <c r="P1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713</v>
      </c>
      <c r="Q1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59</v>
      </c>
      <c r="R1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4" s="35">
        <f>IF(Tabel_prc_2023[[#This Row],[procedure - forfait VdM II]]="n.v.t.",0,  Tabel_prc_2023[[#This Row],[procedure - aantal 0 punten]] * (Tabel_prc_2023[[#This Row],[procedure - forfait VdM II]] - Tabel_prc_2023[[#This Row],[procedure - forfait VdM I]]))</f>
        <v>17</v>
      </c>
      <c r="T1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774</v>
      </c>
      <c r="U1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775</v>
      </c>
      <c r="V14" s="109">
        <f>Tabel_prc_2023[[#This Row],[procedure - totaal extra punten toev. VdM II t.o.v. huidig]] * tarief_huidig</f>
        <v>118672.2625</v>
      </c>
    </row>
    <row r="15" spans="1:24" x14ac:dyDescent="0.3">
      <c r="A15"/>
      <c r="B15" s="1" t="s">
        <v>13</v>
      </c>
      <c r="C15" s="34" t="s">
        <v>5</v>
      </c>
      <c r="D1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67</v>
      </c>
      <c r="E1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1458</v>
      </c>
      <c r="F15" s="91">
        <f>SUMIFS(Tabel_VAS2023[aantal_VAS],Tabel_VAS2023[Zaakcode],Tabel_prc_2023[[#This Row],[Zaakcode]],Tabel_VAS2023[Adviesofprocedure],"prc",Tabel_VAS2023[code_punten_forfait],10)</f>
        <v>0</v>
      </c>
      <c r="G15" s="91">
        <f>SUMIFS(Tabel_VAS2023[aantal_VAS],Tabel_VAS2023[Zaakcode],Tabel_prc_2023[[#This Row],[Zaakcode]],Tabel_VAS2023[Adviesofprocedure],"prc",Tabel_VAS2023[code_punten_forfait],11)</f>
        <v>28</v>
      </c>
      <c r="H15" s="92">
        <f>SUMIFS(Tabel_VAS2023[aantal_VAS],Tabel_VAS2023[Zaakcode],Tabel_prc_2023[[#This Row],[Zaakcode]],Tabel_VAS2023[Adviesofprocedure],"prc",Tabel_VAS2023[code_punten_forfait],13)</f>
        <v>1</v>
      </c>
      <c r="I15" s="92">
        <f>SUMIFS(Tabel_VAS2023[aantal_VAS],Tabel_VAS2023[Zaakcode],Tabel_prc_2023[[#This Row],[Zaakcode]],Tabel_VAS2023[Adviesofprocedure],"prc",Tabel_VAS2023[code_punten_forfait],14)</f>
        <v>0</v>
      </c>
      <c r="J15" s="91">
        <f>SUMIFS(Tabel_VAS2023[aantal_VAS],Tabel_VAS2023[Zaakcode],Tabel_prc_2023[[#This Row],[Zaakcode]],Tabel_VAS2023[Adviesofprocedure],"prc",Tabel_VAS2023[code_punten_forfait],12)</f>
        <v>36</v>
      </c>
      <c r="K15" s="92">
        <f>SUMIFS(Tabel_VAS2023[aantal_VAS],Tabel_VAS2023[Zaakcode],Tabel_prc_2023[[#This Row],[Zaakcode]],Tabel_VAS2023[Adviesofprocedure],"prc",Tabel_VAS2023[code_punten_forfait],15)</f>
        <v>2</v>
      </c>
      <c r="L15" s="92">
        <f>SUMIFS(Tabel_VAS2023[aantal_VAS],Tabel_VAS2023[Zaakcode],Tabel_prc_2023[[#This Row],[Zaakcode]],Tabel_VAS2023[Adviesofprocedure],"prc",Tabel_VAS2023[code_punten_forfait],16)</f>
        <v>0</v>
      </c>
      <c r="M15" s="35">
        <f>IFERROR(INDEX(Tabel_forfaits[forfait vanaf 2022],MATCH(Tabel_prc_2023[[#This Row],[Zaakcode]],Tabel_forfaits[Zaakcode],0)), "n.v.t.")</f>
        <v>31</v>
      </c>
      <c r="N15" s="35">
        <f>IFERROR(INDEX(Tabel_forfaits[forfait VdM II voor berekening],MATCH(Tabel_prc_2023[[#This Row],[Zaakcode]],Tabel_forfaits[Zaakcode],0)), "n.v.t.")</f>
        <v>31</v>
      </c>
      <c r="O15" s="36"/>
      <c r="P1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5" s="35">
        <f>IF(Tabel_prc_2023[[#This Row],[procedure - forfait VdM II]]="n.v.t.",0,  Tabel_prc_2023[[#This Row],[procedure - aantal 0 punten]] * (Tabel_prc_2023[[#This Row],[procedure - forfait VdM II]] - Tabel_prc_2023[[#This Row],[procedure - forfait VdM I]]))</f>
        <v>0</v>
      </c>
      <c r="T1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67</v>
      </c>
      <c r="U1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5" s="109">
        <f>Tabel_prc_2023[[#This Row],[procedure - totaal extra punten toev. VdM II t.o.v. huidig]] * tarief_huidig</f>
        <v>0</v>
      </c>
    </row>
    <row r="16" spans="1:24" x14ac:dyDescent="0.3">
      <c r="A16"/>
      <c r="B16" s="1" t="s">
        <v>14</v>
      </c>
      <c r="C16" s="34" t="s">
        <v>5</v>
      </c>
      <c r="D1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3401</v>
      </c>
      <c r="E1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28414.799999999999</v>
      </c>
      <c r="F16" s="91">
        <f>SUMIFS(Tabel_VAS2023[aantal_VAS],Tabel_VAS2023[Zaakcode],Tabel_prc_2023[[#This Row],[Zaakcode]],Tabel_VAS2023[Adviesofprocedure],"prc",Tabel_VAS2023[code_punten_forfait],10)</f>
        <v>0</v>
      </c>
      <c r="G16" s="91">
        <f>SUMIFS(Tabel_VAS2023[aantal_VAS],Tabel_VAS2023[Zaakcode],Tabel_prc_2023[[#This Row],[Zaakcode]],Tabel_VAS2023[Adviesofprocedure],"prc",Tabel_VAS2023[code_punten_forfait],11)</f>
        <v>541</v>
      </c>
      <c r="H16" s="92">
        <f>SUMIFS(Tabel_VAS2023[aantal_VAS],Tabel_VAS2023[Zaakcode],Tabel_prc_2023[[#This Row],[Zaakcode]],Tabel_VAS2023[Adviesofprocedure],"prc",Tabel_VAS2023[code_punten_forfait],13)</f>
        <v>58</v>
      </c>
      <c r="I16" s="92">
        <f>SUMIFS(Tabel_VAS2023[aantal_VAS],Tabel_VAS2023[Zaakcode],Tabel_prc_2023[[#This Row],[Zaakcode]],Tabel_VAS2023[Adviesofprocedure],"prc",Tabel_VAS2023[code_punten_forfait],14)</f>
        <v>4</v>
      </c>
      <c r="J16" s="91">
        <f>SUMIFS(Tabel_VAS2023[aantal_VAS],Tabel_VAS2023[Zaakcode],Tabel_prc_2023[[#This Row],[Zaakcode]],Tabel_VAS2023[Adviesofprocedure],"prc",Tabel_VAS2023[code_punten_forfait],12)</f>
        <v>2528</v>
      </c>
      <c r="K16" s="92">
        <f>SUMIFS(Tabel_VAS2023[aantal_VAS],Tabel_VAS2023[Zaakcode],Tabel_prc_2023[[#This Row],[Zaakcode]],Tabel_VAS2023[Adviesofprocedure],"prc",Tabel_VAS2023[code_punten_forfait],15)</f>
        <v>263</v>
      </c>
      <c r="L16" s="92">
        <f>SUMIFS(Tabel_VAS2023[aantal_VAS],Tabel_VAS2023[Zaakcode],Tabel_prc_2023[[#This Row],[Zaakcode]],Tabel_VAS2023[Adviesofprocedure],"prc",Tabel_VAS2023[code_punten_forfait],16)</f>
        <v>7</v>
      </c>
      <c r="M16" s="35">
        <f>IFERROR(INDEX(Tabel_forfaits[forfait vanaf 2022],MATCH(Tabel_prc_2023[[#This Row],[Zaakcode]],Tabel_forfaits[Zaakcode],0)), "n.v.t.")</f>
        <v>9</v>
      </c>
      <c r="N16" s="35">
        <f>IFERROR(INDEX(Tabel_forfaits[forfait VdM II voor berekening],MATCH(Tabel_prc_2023[[#This Row],[Zaakcode]],Tabel_forfaits[Zaakcode],0)), "n.v.t.")</f>
        <v>10</v>
      </c>
      <c r="O16" s="36"/>
      <c r="P1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3069</v>
      </c>
      <c r="Q1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321</v>
      </c>
      <c r="R1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16.5</v>
      </c>
      <c r="S16" s="35">
        <f>IF(Tabel_prc_2023[[#This Row],[procedure - forfait VdM II]]="n.v.t.",0,  Tabel_prc_2023[[#This Row],[procedure - aantal 0 punten]] * (Tabel_prc_2023[[#This Row],[procedure - forfait VdM II]] - Tabel_prc_2023[[#This Row],[procedure - forfait VdM I]]))</f>
        <v>0</v>
      </c>
      <c r="T1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3401</v>
      </c>
      <c r="U1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3406.5</v>
      </c>
      <c r="V16" s="109">
        <f>Tabel_prc_2023[[#This Row],[procedure - totaal extra punten toev. VdM II t.o.v. huidig]] * tarief_huidig</f>
        <v>521622.01574999996</v>
      </c>
    </row>
    <row r="17" spans="1:22" x14ac:dyDescent="0.3">
      <c r="A17"/>
      <c r="B17" s="1" t="s">
        <v>15</v>
      </c>
      <c r="C17" s="34" t="s">
        <v>5</v>
      </c>
      <c r="D1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v>
      </c>
      <c r="E1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20</v>
      </c>
      <c r="F17" s="91">
        <f>SUMIFS(Tabel_VAS2023[aantal_VAS],Tabel_VAS2023[Zaakcode],Tabel_prc_2023[[#This Row],[Zaakcode]],Tabel_VAS2023[Adviesofprocedure],"prc",Tabel_VAS2023[code_punten_forfait],10)</f>
        <v>0</v>
      </c>
      <c r="G17" s="91">
        <f>SUMIFS(Tabel_VAS2023[aantal_VAS],Tabel_VAS2023[Zaakcode],Tabel_prc_2023[[#This Row],[Zaakcode]],Tabel_VAS2023[Adviesofprocedure],"prc",Tabel_VAS2023[code_punten_forfait],11)</f>
        <v>1</v>
      </c>
      <c r="H17" s="92">
        <f>SUMIFS(Tabel_VAS2023[aantal_VAS],Tabel_VAS2023[Zaakcode],Tabel_prc_2023[[#This Row],[Zaakcode]],Tabel_VAS2023[Adviesofprocedure],"prc",Tabel_VAS2023[code_punten_forfait],13)</f>
        <v>0</v>
      </c>
      <c r="I17" s="92">
        <f>SUMIFS(Tabel_VAS2023[aantal_VAS],Tabel_VAS2023[Zaakcode],Tabel_prc_2023[[#This Row],[Zaakcode]],Tabel_VAS2023[Adviesofprocedure],"prc",Tabel_VAS2023[code_punten_forfait],14)</f>
        <v>0</v>
      </c>
      <c r="J17" s="91">
        <f>SUMIFS(Tabel_VAS2023[aantal_VAS],Tabel_VAS2023[Zaakcode],Tabel_prc_2023[[#This Row],[Zaakcode]],Tabel_VAS2023[Adviesofprocedure],"prc",Tabel_VAS2023[code_punten_forfait],12)</f>
        <v>2</v>
      </c>
      <c r="K17" s="92">
        <f>SUMIFS(Tabel_VAS2023[aantal_VAS],Tabel_VAS2023[Zaakcode],Tabel_prc_2023[[#This Row],[Zaakcode]],Tabel_VAS2023[Adviesofprocedure],"prc",Tabel_VAS2023[code_punten_forfait],15)</f>
        <v>0</v>
      </c>
      <c r="L17" s="92">
        <f>SUMIFS(Tabel_VAS2023[aantal_VAS],Tabel_VAS2023[Zaakcode],Tabel_prc_2023[[#This Row],[Zaakcode]],Tabel_VAS2023[Adviesofprocedure],"prc",Tabel_VAS2023[code_punten_forfait],16)</f>
        <v>0</v>
      </c>
      <c r="M17" s="35">
        <f>IFERROR(INDEX(Tabel_forfaits[forfait vanaf 2022],MATCH(Tabel_prc_2023[[#This Row],[Zaakcode]],Tabel_forfaits[Zaakcode],0)), "n.v.t.")</f>
        <v>8</v>
      </c>
      <c r="N17" s="35">
        <f>IFERROR(INDEX(Tabel_forfaits[forfait VdM II voor berekening],MATCH(Tabel_prc_2023[[#This Row],[Zaakcode]],Tabel_forfaits[Zaakcode],0)), "n.v.t.")</f>
        <v>8</v>
      </c>
      <c r="O17" s="36"/>
      <c r="P1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7" s="35">
        <f>IF(Tabel_prc_2023[[#This Row],[procedure - forfait VdM II]]="n.v.t.",0,  Tabel_prc_2023[[#This Row],[procedure - aantal 0 punten]] * (Tabel_prc_2023[[#This Row],[procedure - forfait VdM II]] - Tabel_prc_2023[[#This Row],[procedure - forfait VdM I]]))</f>
        <v>0</v>
      </c>
      <c r="T1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v>
      </c>
      <c r="U1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7" s="109">
        <f>Tabel_prc_2023[[#This Row],[procedure - totaal extra punten toev. VdM II t.o.v. huidig]] * tarief_huidig</f>
        <v>0</v>
      </c>
    </row>
    <row r="18" spans="1:22" x14ac:dyDescent="0.3">
      <c r="A18"/>
      <c r="B18" s="1" t="s">
        <v>16</v>
      </c>
      <c r="C18" s="34" t="s">
        <v>5</v>
      </c>
      <c r="D1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131</v>
      </c>
      <c r="E1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1237</v>
      </c>
      <c r="F18" s="91">
        <f>SUMIFS(Tabel_VAS2023[aantal_VAS],Tabel_VAS2023[Zaakcode],Tabel_prc_2023[[#This Row],[Zaakcode]],Tabel_VAS2023[Adviesofprocedure],"prc",Tabel_VAS2023[code_punten_forfait],10)</f>
        <v>0</v>
      </c>
      <c r="G18" s="91">
        <f>SUMIFS(Tabel_VAS2023[aantal_VAS],Tabel_VAS2023[Zaakcode],Tabel_prc_2023[[#This Row],[Zaakcode]],Tabel_VAS2023[Adviesofprocedure],"prc",Tabel_VAS2023[code_punten_forfait],11)</f>
        <v>23</v>
      </c>
      <c r="H18" s="92">
        <f>SUMIFS(Tabel_VAS2023[aantal_VAS],Tabel_VAS2023[Zaakcode],Tabel_prc_2023[[#This Row],[Zaakcode]],Tabel_VAS2023[Adviesofprocedure],"prc",Tabel_VAS2023[code_punten_forfait],13)</f>
        <v>2</v>
      </c>
      <c r="I18" s="92">
        <f>SUMIFS(Tabel_VAS2023[aantal_VAS],Tabel_VAS2023[Zaakcode],Tabel_prc_2023[[#This Row],[Zaakcode]],Tabel_VAS2023[Adviesofprocedure],"prc",Tabel_VAS2023[code_punten_forfait],14)</f>
        <v>0</v>
      </c>
      <c r="J18" s="91">
        <f>SUMIFS(Tabel_VAS2023[aantal_VAS],Tabel_VAS2023[Zaakcode],Tabel_prc_2023[[#This Row],[Zaakcode]],Tabel_VAS2023[Adviesofprocedure],"prc",Tabel_VAS2023[code_punten_forfait],12)</f>
        <v>102</v>
      </c>
      <c r="K18" s="92">
        <f>SUMIFS(Tabel_VAS2023[aantal_VAS],Tabel_VAS2023[Zaakcode],Tabel_prc_2023[[#This Row],[Zaakcode]],Tabel_VAS2023[Adviesofprocedure],"prc",Tabel_VAS2023[code_punten_forfait],15)</f>
        <v>4</v>
      </c>
      <c r="L18" s="92">
        <f>SUMIFS(Tabel_VAS2023[aantal_VAS],Tabel_VAS2023[Zaakcode],Tabel_prc_2023[[#This Row],[Zaakcode]],Tabel_VAS2023[Adviesofprocedure],"prc",Tabel_VAS2023[code_punten_forfait],16)</f>
        <v>0</v>
      </c>
      <c r="M18" s="35">
        <f>IFERROR(INDEX(Tabel_forfaits[forfait vanaf 2022],MATCH(Tabel_prc_2023[[#This Row],[Zaakcode]],Tabel_forfaits[Zaakcode],0)), "n.v.t.")</f>
        <v>10</v>
      </c>
      <c r="N18" s="35">
        <f>IFERROR(INDEX(Tabel_forfaits[forfait VdM II voor berekening],MATCH(Tabel_prc_2023[[#This Row],[Zaakcode]],Tabel_forfaits[Zaakcode],0)), "n.v.t.")</f>
        <v>11</v>
      </c>
      <c r="O18" s="36"/>
      <c r="P1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125</v>
      </c>
      <c r="Q1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6</v>
      </c>
      <c r="R1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8" s="35">
        <f>IF(Tabel_prc_2023[[#This Row],[procedure - forfait VdM II]]="n.v.t.",0,  Tabel_prc_2023[[#This Row],[procedure - aantal 0 punten]] * (Tabel_prc_2023[[#This Row],[procedure - forfait VdM II]] - Tabel_prc_2023[[#This Row],[procedure - forfait VdM I]]))</f>
        <v>0</v>
      </c>
      <c r="T1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131</v>
      </c>
      <c r="U1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131</v>
      </c>
      <c r="V18" s="109">
        <f>Tabel_prc_2023[[#This Row],[procedure - totaal extra punten toev. VdM II t.o.v. huidig]] * tarief_huidig</f>
        <v>20059.440499999997</v>
      </c>
    </row>
    <row r="19" spans="1:22" x14ac:dyDescent="0.3">
      <c r="A19"/>
      <c r="B19" s="1" t="s">
        <v>17</v>
      </c>
      <c r="C19" s="34" t="s">
        <v>5</v>
      </c>
      <c r="D1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4494</v>
      </c>
      <c r="E1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36037.300000000003</v>
      </c>
      <c r="F19" s="91">
        <f>SUMIFS(Tabel_VAS2023[aantal_VAS],Tabel_VAS2023[Zaakcode],Tabel_prc_2023[[#This Row],[Zaakcode]],Tabel_VAS2023[Adviesofprocedure],"prc",Tabel_VAS2023[code_punten_forfait],10)</f>
        <v>0</v>
      </c>
      <c r="G19" s="91">
        <f>SUMIFS(Tabel_VAS2023[aantal_VAS],Tabel_VAS2023[Zaakcode],Tabel_prc_2023[[#This Row],[Zaakcode]],Tabel_VAS2023[Adviesofprocedure],"prc",Tabel_VAS2023[code_punten_forfait],11)</f>
        <v>1285</v>
      </c>
      <c r="H19" s="92">
        <f>SUMIFS(Tabel_VAS2023[aantal_VAS],Tabel_VAS2023[Zaakcode],Tabel_prc_2023[[#This Row],[Zaakcode]],Tabel_VAS2023[Adviesofprocedure],"prc",Tabel_VAS2023[code_punten_forfait],13)</f>
        <v>14</v>
      </c>
      <c r="I19" s="92">
        <f>SUMIFS(Tabel_VAS2023[aantal_VAS],Tabel_VAS2023[Zaakcode],Tabel_prc_2023[[#This Row],[Zaakcode]],Tabel_VAS2023[Adviesofprocedure],"prc",Tabel_VAS2023[code_punten_forfait],14)</f>
        <v>11</v>
      </c>
      <c r="J19" s="91">
        <f>SUMIFS(Tabel_VAS2023[aantal_VAS],Tabel_VAS2023[Zaakcode],Tabel_prc_2023[[#This Row],[Zaakcode]],Tabel_VAS2023[Adviesofprocedure],"prc",Tabel_VAS2023[code_punten_forfait],12)</f>
        <v>3109</v>
      </c>
      <c r="K19" s="92">
        <f>SUMIFS(Tabel_VAS2023[aantal_VAS],Tabel_VAS2023[Zaakcode],Tabel_prc_2023[[#This Row],[Zaakcode]],Tabel_VAS2023[Adviesofprocedure],"prc",Tabel_VAS2023[code_punten_forfait],15)</f>
        <v>52</v>
      </c>
      <c r="L19" s="92">
        <f>SUMIFS(Tabel_VAS2023[aantal_VAS],Tabel_VAS2023[Zaakcode],Tabel_prc_2023[[#This Row],[Zaakcode]],Tabel_VAS2023[Adviesofprocedure],"prc",Tabel_VAS2023[code_punten_forfait],16)</f>
        <v>23</v>
      </c>
      <c r="M19" s="35">
        <f>IFERROR(INDEX(Tabel_forfaits[forfait vanaf 2022],MATCH(Tabel_prc_2023[[#This Row],[Zaakcode]],Tabel_forfaits[Zaakcode],0)), "n.v.t.")</f>
        <v>8</v>
      </c>
      <c r="N19" s="35">
        <f>IFERROR(INDEX(Tabel_forfaits[forfait VdM II voor berekening],MATCH(Tabel_prc_2023[[#This Row],[Zaakcode]],Tabel_forfaits[Zaakcode],0)), "n.v.t.")</f>
        <v>8</v>
      </c>
      <c r="O19" s="36"/>
      <c r="P1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9" s="35">
        <f>IF(Tabel_prc_2023[[#This Row],[procedure - forfait VdM II]]="n.v.t.",0,  Tabel_prc_2023[[#This Row],[procedure - aantal 0 punten]] * (Tabel_prc_2023[[#This Row],[procedure - forfait VdM II]] - Tabel_prc_2023[[#This Row],[procedure - forfait VdM I]]))</f>
        <v>0</v>
      </c>
      <c r="T1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4494</v>
      </c>
      <c r="U1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9" s="109">
        <f>Tabel_prc_2023[[#This Row],[procedure - totaal extra punten toev. VdM II t.o.v. huidig]] * tarief_huidig</f>
        <v>0</v>
      </c>
    </row>
    <row r="20" spans="1:22" x14ac:dyDescent="0.3">
      <c r="A20"/>
      <c r="B20" s="1" t="s">
        <v>18</v>
      </c>
      <c r="C20" s="34" t="s">
        <v>5</v>
      </c>
      <c r="D2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125</v>
      </c>
      <c r="E2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1168</v>
      </c>
      <c r="F20" s="91">
        <f>SUMIFS(Tabel_VAS2023[aantal_VAS],Tabel_VAS2023[Zaakcode],Tabel_prc_2023[[#This Row],[Zaakcode]],Tabel_VAS2023[Adviesofprocedure],"prc",Tabel_VAS2023[code_punten_forfait],10)</f>
        <v>0</v>
      </c>
      <c r="G20" s="91">
        <f>SUMIFS(Tabel_VAS2023[aantal_VAS],Tabel_VAS2023[Zaakcode],Tabel_prc_2023[[#This Row],[Zaakcode]],Tabel_VAS2023[Adviesofprocedure],"prc",Tabel_VAS2023[code_punten_forfait],11)</f>
        <v>39</v>
      </c>
      <c r="H20" s="92">
        <f>SUMIFS(Tabel_VAS2023[aantal_VAS],Tabel_VAS2023[Zaakcode],Tabel_prc_2023[[#This Row],[Zaakcode]],Tabel_VAS2023[Adviesofprocedure],"prc",Tabel_VAS2023[code_punten_forfait],13)</f>
        <v>1</v>
      </c>
      <c r="I20" s="92">
        <f>SUMIFS(Tabel_VAS2023[aantal_VAS],Tabel_VAS2023[Zaakcode],Tabel_prc_2023[[#This Row],[Zaakcode]],Tabel_VAS2023[Adviesofprocedure],"prc",Tabel_VAS2023[code_punten_forfait],14)</f>
        <v>0</v>
      </c>
      <c r="J20" s="91">
        <f>SUMIFS(Tabel_VAS2023[aantal_VAS],Tabel_VAS2023[Zaakcode],Tabel_prc_2023[[#This Row],[Zaakcode]],Tabel_VAS2023[Adviesofprocedure],"prc",Tabel_VAS2023[code_punten_forfait],12)</f>
        <v>85</v>
      </c>
      <c r="K20" s="92">
        <f>SUMIFS(Tabel_VAS2023[aantal_VAS],Tabel_VAS2023[Zaakcode],Tabel_prc_2023[[#This Row],[Zaakcode]],Tabel_VAS2023[Adviesofprocedure],"prc",Tabel_VAS2023[code_punten_forfait],15)</f>
        <v>0</v>
      </c>
      <c r="L20" s="92">
        <f>SUMIFS(Tabel_VAS2023[aantal_VAS],Tabel_VAS2023[Zaakcode],Tabel_prc_2023[[#This Row],[Zaakcode]],Tabel_VAS2023[Adviesofprocedure],"prc",Tabel_VAS2023[code_punten_forfait],16)</f>
        <v>0</v>
      </c>
      <c r="M20" s="35">
        <f>IFERROR(INDEX(Tabel_forfaits[forfait vanaf 2022],MATCH(Tabel_prc_2023[[#This Row],[Zaakcode]],Tabel_forfaits[Zaakcode],0)), "n.v.t.")</f>
        <v>10</v>
      </c>
      <c r="N20" s="35">
        <f>IFERROR(INDEX(Tabel_forfaits[forfait VdM II voor berekening],MATCH(Tabel_prc_2023[[#This Row],[Zaakcode]],Tabel_forfaits[Zaakcode],0)), "n.v.t.")</f>
        <v>11</v>
      </c>
      <c r="O20" s="36"/>
      <c r="P2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124</v>
      </c>
      <c r="Q2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v>
      </c>
      <c r="R2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0" s="35">
        <f>IF(Tabel_prc_2023[[#This Row],[procedure - forfait VdM II]]="n.v.t.",0,  Tabel_prc_2023[[#This Row],[procedure - aantal 0 punten]] * (Tabel_prc_2023[[#This Row],[procedure - forfait VdM II]] - Tabel_prc_2023[[#This Row],[procedure - forfait VdM I]]))</f>
        <v>0</v>
      </c>
      <c r="T2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125</v>
      </c>
      <c r="U2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125</v>
      </c>
      <c r="V20" s="109">
        <f>Tabel_prc_2023[[#This Row],[procedure - totaal extra punten toev. VdM II t.o.v. huidig]] * tarief_huidig</f>
        <v>19140.6875</v>
      </c>
    </row>
    <row r="21" spans="1:22" x14ac:dyDescent="0.3">
      <c r="A21"/>
      <c r="B21" s="1" t="s">
        <v>19</v>
      </c>
      <c r="C21" s="34" t="s">
        <v>5</v>
      </c>
      <c r="D2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v>
      </c>
      <c r="E2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26</v>
      </c>
      <c r="F21" s="91">
        <f>SUMIFS(Tabel_VAS2023[aantal_VAS],Tabel_VAS2023[Zaakcode],Tabel_prc_2023[[#This Row],[Zaakcode]],Tabel_VAS2023[Adviesofprocedure],"prc",Tabel_VAS2023[code_punten_forfait],10)</f>
        <v>0</v>
      </c>
      <c r="G21" s="91">
        <f>SUMIFS(Tabel_VAS2023[aantal_VAS],Tabel_VAS2023[Zaakcode],Tabel_prc_2023[[#This Row],[Zaakcode]],Tabel_VAS2023[Adviesofprocedure],"prc",Tabel_VAS2023[code_punten_forfait],11)</f>
        <v>1</v>
      </c>
      <c r="H21" s="92">
        <f>SUMIFS(Tabel_VAS2023[aantal_VAS],Tabel_VAS2023[Zaakcode],Tabel_prc_2023[[#This Row],[Zaakcode]],Tabel_VAS2023[Adviesofprocedure],"prc",Tabel_VAS2023[code_punten_forfait],13)</f>
        <v>0</v>
      </c>
      <c r="I21" s="92">
        <f>SUMIFS(Tabel_VAS2023[aantal_VAS],Tabel_VAS2023[Zaakcode],Tabel_prc_2023[[#This Row],[Zaakcode]],Tabel_VAS2023[Adviesofprocedure],"prc",Tabel_VAS2023[code_punten_forfait],14)</f>
        <v>0</v>
      </c>
      <c r="J21" s="91">
        <f>SUMIFS(Tabel_VAS2023[aantal_VAS],Tabel_VAS2023[Zaakcode],Tabel_prc_2023[[#This Row],[Zaakcode]],Tabel_VAS2023[Adviesofprocedure],"prc",Tabel_VAS2023[code_punten_forfait],12)</f>
        <v>1</v>
      </c>
      <c r="K21" s="92">
        <f>SUMIFS(Tabel_VAS2023[aantal_VAS],Tabel_VAS2023[Zaakcode],Tabel_prc_2023[[#This Row],[Zaakcode]],Tabel_VAS2023[Adviesofprocedure],"prc",Tabel_VAS2023[code_punten_forfait],15)</f>
        <v>0</v>
      </c>
      <c r="L21" s="92">
        <f>SUMIFS(Tabel_VAS2023[aantal_VAS],Tabel_VAS2023[Zaakcode],Tabel_prc_2023[[#This Row],[Zaakcode]],Tabel_VAS2023[Adviesofprocedure],"prc",Tabel_VAS2023[code_punten_forfait],16)</f>
        <v>0</v>
      </c>
      <c r="M21" s="35">
        <f>IFERROR(INDEX(Tabel_forfaits[forfait vanaf 2022],MATCH(Tabel_prc_2023[[#This Row],[Zaakcode]],Tabel_forfaits[Zaakcode],0)), "n.v.t.")</f>
        <v>15</v>
      </c>
      <c r="N21" s="35">
        <f>IFERROR(INDEX(Tabel_forfaits[forfait VdM II voor berekening],MATCH(Tabel_prc_2023[[#This Row],[Zaakcode]],Tabel_forfaits[Zaakcode],0)), "n.v.t.")</f>
        <v>15</v>
      </c>
      <c r="O21" s="36"/>
      <c r="P2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2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2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1" s="35">
        <f>IF(Tabel_prc_2023[[#This Row],[procedure - forfait VdM II]]="n.v.t.",0,  Tabel_prc_2023[[#This Row],[procedure - aantal 0 punten]] * (Tabel_prc_2023[[#This Row],[procedure - forfait VdM II]] - Tabel_prc_2023[[#This Row],[procedure - forfait VdM I]]))</f>
        <v>0</v>
      </c>
      <c r="T2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v>
      </c>
      <c r="U2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21" s="109">
        <f>Tabel_prc_2023[[#This Row],[procedure - totaal extra punten toev. VdM II t.o.v. huidig]] * tarief_huidig</f>
        <v>0</v>
      </c>
    </row>
    <row r="22" spans="1:22" x14ac:dyDescent="0.3">
      <c r="A22"/>
      <c r="B22" s="1" t="s">
        <v>20</v>
      </c>
      <c r="C22" s="34" t="s">
        <v>5</v>
      </c>
      <c r="D2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2242</v>
      </c>
      <c r="E2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19345</v>
      </c>
      <c r="F22" s="91">
        <f>SUMIFS(Tabel_VAS2023[aantal_VAS],Tabel_VAS2023[Zaakcode],Tabel_prc_2023[[#This Row],[Zaakcode]],Tabel_VAS2023[Adviesofprocedure],"prc",Tabel_VAS2023[code_punten_forfait],10)</f>
        <v>0</v>
      </c>
      <c r="G22" s="91">
        <f>SUMIFS(Tabel_VAS2023[aantal_VAS],Tabel_VAS2023[Zaakcode],Tabel_prc_2023[[#This Row],[Zaakcode]],Tabel_VAS2023[Adviesofprocedure],"prc",Tabel_VAS2023[code_punten_forfait],11)</f>
        <v>494</v>
      </c>
      <c r="H22" s="92">
        <f>SUMIFS(Tabel_VAS2023[aantal_VAS],Tabel_VAS2023[Zaakcode],Tabel_prc_2023[[#This Row],[Zaakcode]],Tabel_VAS2023[Adviesofprocedure],"prc",Tabel_VAS2023[code_punten_forfait],13)</f>
        <v>5</v>
      </c>
      <c r="I22" s="92">
        <f>SUMIFS(Tabel_VAS2023[aantal_VAS],Tabel_VAS2023[Zaakcode],Tabel_prc_2023[[#This Row],[Zaakcode]],Tabel_VAS2023[Adviesofprocedure],"prc",Tabel_VAS2023[code_punten_forfait],14)</f>
        <v>9</v>
      </c>
      <c r="J22" s="91">
        <f>SUMIFS(Tabel_VAS2023[aantal_VAS],Tabel_VAS2023[Zaakcode],Tabel_prc_2023[[#This Row],[Zaakcode]],Tabel_VAS2023[Adviesofprocedure],"prc",Tabel_VAS2023[code_punten_forfait],12)</f>
        <v>1654</v>
      </c>
      <c r="K22" s="92">
        <f>SUMIFS(Tabel_VAS2023[aantal_VAS],Tabel_VAS2023[Zaakcode],Tabel_prc_2023[[#This Row],[Zaakcode]],Tabel_VAS2023[Adviesofprocedure],"prc",Tabel_VAS2023[code_punten_forfait],15)</f>
        <v>70</v>
      </c>
      <c r="L22" s="92">
        <f>SUMIFS(Tabel_VAS2023[aantal_VAS],Tabel_VAS2023[Zaakcode],Tabel_prc_2023[[#This Row],[Zaakcode]],Tabel_VAS2023[Adviesofprocedure],"prc",Tabel_VAS2023[code_punten_forfait],16)</f>
        <v>10</v>
      </c>
      <c r="M22" s="35">
        <f>IFERROR(INDEX(Tabel_forfaits[forfait vanaf 2022],MATCH(Tabel_prc_2023[[#This Row],[Zaakcode]],Tabel_forfaits[Zaakcode],0)), "n.v.t.")</f>
        <v>9</v>
      </c>
      <c r="N22" s="35">
        <f>IFERROR(INDEX(Tabel_forfaits[forfait VdM II voor berekening],MATCH(Tabel_prc_2023[[#This Row],[Zaakcode]],Tabel_forfaits[Zaakcode],0)), "n.v.t.")</f>
        <v>9</v>
      </c>
      <c r="O22" s="36"/>
      <c r="P2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2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2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2" s="35">
        <f>IF(Tabel_prc_2023[[#This Row],[procedure - forfait VdM II]]="n.v.t.",0,  Tabel_prc_2023[[#This Row],[procedure - aantal 0 punten]] * (Tabel_prc_2023[[#This Row],[procedure - forfait VdM II]] - Tabel_prc_2023[[#This Row],[procedure - forfait VdM I]]))</f>
        <v>0</v>
      </c>
      <c r="T2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2242</v>
      </c>
      <c r="U2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22" s="109">
        <f>Tabel_prc_2023[[#This Row],[procedure - totaal extra punten toev. VdM II t.o.v. huidig]] * tarief_huidig</f>
        <v>0</v>
      </c>
    </row>
    <row r="23" spans="1:22" x14ac:dyDescent="0.3">
      <c r="A23"/>
      <c r="B23" s="1" t="s">
        <v>21</v>
      </c>
      <c r="C23" s="34" t="s">
        <v>5</v>
      </c>
      <c r="D2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578</v>
      </c>
      <c r="E2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5666</v>
      </c>
      <c r="F23" s="91">
        <f>SUMIFS(Tabel_VAS2023[aantal_VAS],Tabel_VAS2023[Zaakcode],Tabel_prc_2023[[#This Row],[Zaakcode]],Tabel_VAS2023[Adviesofprocedure],"prc",Tabel_VAS2023[code_punten_forfait],10)</f>
        <v>0</v>
      </c>
      <c r="G23" s="91">
        <f>SUMIFS(Tabel_VAS2023[aantal_VAS],Tabel_VAS2023[Zaakcode],Tabel_prc_2023[[#This Row],[Zaakcode]],Tabel_VAS2023[Adviesofprocedure],"prc",Tabel_VAS2023[code_punten_forfait],11)</f>
        <v>60</v>
      </c>
      <c r="H23" s="92">
        <f>SUMIFS(Tabel_VAS2023[aantal_VAS],Tabel_VAS2023[Zaakcode],Tabel_prc_2023[[#This Row],[Zaakcode]],Tabel_VAS2023[Adviesofprocedure],"prc",Tabel_VAS2023[code_punten_forfait],13)</f>
        <v>0</v>
      </c>
      <c r="I23" s="92">
        <f>SUMIFS(Tabel_VAS2023[aantal_VAS],Tabel_VAS2023[Zaakcode],Tabel_prc_2023[[#This Row],[Zaakcode]],Tabel_VAS2023[Adviesofprocedure],"prc",Tabel_VAS2023[code_punten_forfait],14)</f>
        <v>0</v>
      </c>
      <c r="J23" s="91">
        <f>SUMIFS(Tabel_VAS2023[aantal_VAS],Tabel_VAS2023[Zaakcode],Tabel_prc_2023[[#This Row],[Zaakcode]],Tabel_VAS2023[Adviesofprocedure],"prc",Tabel_VAS2023[code_punten_forfait],12)</f>
        <v>513</v>
      </c>
      <c r="K23" s="92">
        <f>SUMIFS(Tabel_VAS2023[aantal_VAS],Tabel_VAS2023[Zaakcode],Tabel_prc_2023[[#This Row],[Zaakcode]],Tabel_VAS2023[Adviesofprocedure],"prc",Tabel_VAS2023[code_punten_forfait],15)</f>
        <v>3</v>
      </c>
      <c r="L23" s="92">
        <f>SUMIFS(Tabel_VAS2023[aantal_VAS],Tabel_VAS2023[Zaakcode],Tabel_prc_2023[[#This Row],[Zaakcode]],Tabel_VAS2023[Adviesofprocedure],"prc",Tabel_VAS2023[code_punten_forfait],16)</f>
        <v>2</v>
      </c>
      <c r="M23" s="35">
        <f>IFERROR(INDEX(Tabel_forfaits[forfait vanaf 2022],MATCH(Tabel_prc_2023[[#This Row],[Zaakcode]],Tabel_forfaits[Zaakcode],0)), "n.v.t.")</f>
        <v>10</v>
      </c>
      <c r="N23" s="35">
        <f>IFERROR(INDEX(Tabel_forfaits[forfait VdM II voor berekening],MATCH(Tabel_prc_2023[[#This Row],[Zaakcode]],Tabel_forfaits[Zaakcode],0)), "n.v.t.")</f>
        <v>11</v>
      </c>
      <c r="O23" s="36"/>
      <c r="P2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573</v>
      </c>
      <c r="Q2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v>
      </c>
      <c r="R2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23" s="35">
        <f>IF(Tabel_prc_2023[[#This Row],[procedure - forfait VdM II]]="n.v.t.",0,  Tabel_prc_2023[[#This Row],[procedure - aantal 0 punten]] * (Tabel_prc_2023[[#This Row],[procedure - forfait VdM II]] - Tabel_prc_2023[[#This Row],[procedure - forfait VdM I]]))</f>
        <v>0</v>
      </c>
      <c r="T2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578</v>
      </c>
      <c r="U2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579</v>
      </c>
      <c r="V23" s="109">
        <f>Tabel_prc_2023[[#This Row],[procedure - totaal extra punten toev. VdM II t.o.v. huidig]] * tarief_huidig</f>
        <v>88659.664499999999</v>
      </c>
    </row>
    <row r="24" spans="1:22" x14ac:dyDescent="0.3">
      <c r="A24"/>
      <c r="B24" s="1" t="s">
        <v>22</v>
      </c>
      <c r="C24" s="34" t="s">
        <v>5</v>
      </c>
      <c r="D2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370</v>
      </c>
      <c r="E2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3276.2</v>
      </c>
      <c r="F24" s="91">
        <f>SUMIFS(Tabel_VAS2023[aantal_VAS],Tabel_VAS2023[Zaakcode],Tabel_prc_2023[[#This Row],[Zaakcode]],Tabel_VAS2023[Adviesofprocedure],"prc",Tabel_VAS2023[code_punten_forfait],10)</f>
        <v>0</v>
      </c>
      <c r="G24" s="91">
        <f>SUMIFS(Tabel_VAS2023[aantal_VAS],Tabel_VAS2023[Zaakcode],Tabel_prc_2023[[#This Row],[Zaakcode]],Tabel_VAS2023[Adviesofprocedure],"prc",Tabel_VAS2023[code_punten_forfait],11)</f>
        <v>60</v>
      </c>
      <c r="H24" s="92">
        <f>SUMIFS(Tabel_VAS2023[aantal_VAS],Tabel_VAS2023[Zaakcode],Tabel_prc_2023[[#This Row],[Zaakcode]],Tabel_VAS2023[Adviesofprocedure],"prc",Tabel_VAS2023[code_punten_forfait],13)</f>
        <v>0</v>
      </c>
      <c r="I24" s="92">
        <f>SUMIFS(Tabel_VAS2023[aantal_VAS],Tabel_VAS2023[Zaakcode],Tabel_prc_2023[[#This Row],[Zaakcode]],Tabel_VAS2023[Adviesofprocedure],"prc",Tabel_VAS2023[code_punten_forfait],14)</f>
        <v>0</v>
      </c>
      <c r="J24" s="91">
        <f>SUMIFS(Tabel_VAS2023[aantal_VAS],Tabel_VAS2023[Zaakcode],Tabel_prc_2023[[#This Row],[Zaakcode]],Tabel_VAS2023[Adviesofprocedure],"prc",Tabel_VAS2023[code_punten_forfait],12)</f>
        <v>303</v>
      </c>
      <c r="K24" s="92">
        <f>SUMIFS(Tabel_VAS2023[aantal_VAS],Tabel_VAS2023[Zaakcode],Tabel_prc_2023[[#This Row],[Zaakcode]],Tabel_VAS2023[Adviesofprocedure],"prc",Tabel_VAS2023[code_punten_forfait],15)</f>
        <v>4</v>
      </c>
      <c r="L24" s="92">
        <f>SUMIFS(Tabel_VAS2023[aantal_VAS],Tabel_VAS2023[Zaakcode],Tabel_prc_2023[[#This Row],[Zaakcode]],Tabel_VAS2023[Adviesofprocedure],"prc",Tabel_VAS2023[code_punten_forfait],16)</f>
        <v>3</v>
      </c>
      <c r="M24" s="35">
        <f>IFERROR(INDEX(Tabel_forfaits[forfait vanaf 2022],MATCH(Tabel_prc_2023[[#This Row],[Zaakcode]],Tabel_forfaits[Zaakcode],0)), "n.v.t.")</f>
        <v>9</v>
      </c>
      <c r="N24" s="35">
        <f>IFERROR(INDEX(Tabel_forfaits[forfait VdM II voor berekening],MATCH(Tabel_prc_2023[[#This Row],[Zaakcode]],Tabel_forfaits[Zaakcode],0)), "n.v.t.")</f>
        <v>8</v>
      </c>
      <c r="O24" s="36"/>
      <c r="P2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-363</v>
      </c>
      <c r="Q2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-4</v>
      </c>
      <c r="R2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-4.5</v>
      </c>
      <c r="S24" s="35">
        <f>IF(Tabel_prc_2023[[#This Row],[procedure - forfait VdM II]]="n.v.t.",0,  Tabel_prc_2023[[#This Row],[procedure - aantal 0 punten]] * (Tabel_prc_2023[[#This Row],[procedure - forfait VdM II]] - Tabel_prc_2023[[#This Row],[procedure - forfait VdM I]]))</f>
        <v>0</v>
      </c>
      <c r="T2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370</v>
      </c>
      <c r="U2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-371.5</v>
      </c>
      <c r="V24" s="109">
        <f>Tabel_prc_2023[[#This Row],[procedure - totaal extra punten toev. VdM II t.o.v. huidig]] * tarief_huidig</f>
        <v>-56886.123249999997</v>
      </c>
    </row>
    <row r="25" spans="1:22" x14ac:dyDescent="0.3">
      <c r="A25"/>
      <c r="B25" s="1" t="s">
        <v>23</v>
      </c>
      <c r="C25" s="34" t="s">
        <v>5</v>
      </c>
      <c r="D2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3585</v>
      </c>
      <c r="E2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34276</v>
      </c>
      <c r="F25" s="91">
        <f>SUMIFS(Tabel_VAS2023[aantal_VAS],Tabel_VAS2023[Zaakcode],Tabel_prc_2023[[#This Row],[Zaakcode]],Tabel_VAS2023[Adviesofprocedure],"prc",Tabel_VAS2023[code_punten_forfait],10)</f>
        <v>0</v>
      </c>
      <c r="G25" s="91">
        <f>SUMIFS(Tabel_VAS2023[aantal_VAS],Tabel_VAS2023[Zaakcode],Tabel_prc_2023[[#This Row],[Zaakcode]],Tabel_VAS2023[Adviesofprocedure],"prc",Tabel_VAS2023[code_punten_forfait],11)</f>
        <v>789</v>
      </c>
      <c r="H25" s="92">
        <f>SUMIFS(Tabel_VAS2023[aantal_VAS],Tabel_VAS2023[Zaakcode],Tabel_prc_2023[[#This Row],[Zaakcode]],Tabel_VAS2023[Adviesofprocedure],"prc",Tabel_VAS2023[code_punten_forfait],13)</f>
        <v>0</v>
      </c>
      <c r="I25" s="92">
        <f>SUMIFS(Tabel_VAS2023[aantal_VAS],Tabel_VAS2023[Zaakcode],Tabel_prc_2023[[#This Row],[Zaakcode]],Tabel_VAS2023[Adviesofprocedure],"prc",Tabel_VAS2023[code_punten_forfait],14)</f>
        <v>3</v>
      </c>
      <c r="J25" s="91">
        <f>SUMIFS(Tabel_VAS2023[aantal_VAS],Tabel_VAS2023[Zaakcode],Tabel_prc_2023[[#This Row],[Zaakcode]],Tabel_VAS2023[Adviesofprocedure],"prc",Tabel_VAS2023[code_punten_forfait],12)</f>
        <v>2779</v>
      </c>
      <c r="K25" s="92">
        <f>SUMIFS(Tabel_VAS2023[aantal_VAS],Tabel_VAS2023[Zaakcode],Tabel_prc_2023[[#This Row],[Zaakcode]],Tabel_VAS2023[Adviesofprocedure],"prc",Tabel_VAS2023[code_punten_forfait],15)</f>
        <v>7</v>
      </c>
      <c r="L25" s="92">
        <f>SUMIFS(Tabel_VAS2023[aantal_VAS],Tabel_VAS2023[Zaakcode],Tabel_prc_2023[[#This Row],[Zaakcode]],Tabel_VAS2023[Adviesofprocedure],"prc",Tabel_VAS2023[code_punten_forfait],16)</f>
        <v>7</v>
      </c>
      <c r="M25" s="35">
        <f>IFERROR(INDEX(Tabel_forfaits[forfait vanaf 2022],MATCH(Tabel_prc_2023[[#This Row],[Zaakcode]],Tabel_forfaits[Zaakcode],0)), "n.v.t.")</f>
        <v>10</v>
      </c>
      <c r="N25" s="35">
        <f>IFERROR(INDEX(Tabel_forfaits[forfait VdM II voor berekening],MATCH(Tabel_prc_2023[[#This Row],[Zaakcode]],Tabel_forfaits[Zaakcode],0)), "n.v.t.")</f>
        <v>9</v>
      </c>
      <c r="O25" s="36"/>
      <c r="P2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-3568</v>
      </c>
      <c r="Q2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-7</v>
      </c>
      <c r="R2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-15</v>
      </c>
      <c r="S25" s="35">
        <f>IF(Tabel_prc_2023[[#This Row],[procedure - forfait VdM II]]="n.v.t.",0,  Tabel_prc_2023[[#This Row],[procedure - aantal 0 punten]] * (Tabel_prc_2023[[#This Row],[procedure - forfait VdM II]] - Tabel_prc_2023[[#This Row],[procedure - forfait VdM I]]))</f>
        <v>0</v>
      </c>
      <c r="T2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3585</v>
      </c>
      <c r="U2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-3590</v>
      </c>
      <c r="V25" s="109">
        <f>Tabel_prc_2023[[#This Row],[procedure - totaal extra punten toev. VdM II t.o.v. huidig]] * tarief_huidig</f>
        <v>-549720.54499999993</v>
      </c>
    </row>
    <row r="26" spans="1:22" x14ac:dyDescent="0.3">
      <c r="A26"/>
      <c r="B26" s="1" t="s">
        <v>24</v>
      </c>
      <c r="C26" s="34" t="s">
        <v>5</v>
      </c>
      <c r="D2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1519</v>
      </c>
      <c r="E2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14531.8</v>
      </c>
      <c r="F26" s="91">
        <f>SUMIFS(Tabel_VAS2023[aantal_VAS],Tabel_VAS2023[Zaakcode],Tabel_prc_2023[[#This Row],[Zaakcode]],Tabel_VAS2023[Adviesofprocedure],"prc",Tabel_VAS2023[code_punten_forfait],10)</f>
        <v>0</v>
      </c>
      <c r="G26" s="91">
        <f>SUMIFS(Tabel_VAS2023[aantal_VAS],Tabel_VAS2023[Zaakcode],Tabel_prc_2023[[#This Row],[Zaakcode]],Tabel_VAS2023[Adviesofprocedure],"prc",Tabel_VAS2023[code_punten_forfait],11)</f>
        <v>299</v>
      </c>
      <c r="H26" s="92">
        <f>SUMIFS(Tabel_VAS2023[aantal_VAS],Tabel_VAS2023[Zaakcode],Tabel_prc_2023[[#This Row],[Zaakcode]],Tabel_VAS2023[Adviesofprocedure],"prc",Tabel_VAS2023[code_punten_forfait],13)</f>
        <v>5</v>
      </c>
      <c r="I26" s="92">
        <f>SUMIFS(Tabel_VAS2023[aantal_VAS],Tabel_VAS2023[Zaakcode],Tabel_prc_2023[[#This Row],[Zaakcode]],Tabel_VAS2023[Adviesofprocedure],"prc",Tabel_VAS2023[code_punten_forfait],14)</f>
        <v>3</v>
      </c>
      <c r="J26" s="91">
        <f>SUMIFS(Tabel_VAS2023[aantal_VAS],Tabel_VAS2023[Zaakcode],Tabel_prc_2023[[#This Row],[Zaakcode]],Tabel_VAS2023[Adviesofprocedure],"prc",Tabel_VAS2023[code_punten_forfait],12)</f>
        <v>1187</v>
      </c>
      <c r="K26" s="92">
        <f>SUMIFS(Tabel_VAS2023[aantal_VAS],Tabel_VAS2023[Zaakcode],Tabel_prc_2023[[#This Row],[Zaakcode]],Tabel_VAS2023[Adviesofprocedure],"prc",Tabel_VAS2023[code_punten_forfait],15)</f>
        <v>19</v>
      </c>
      <c r="L26" s="92">
        <f>SUMIFS(Tabel_VAS2023[aantal_VAS],Tabel_VAS2023[Zaakcode],Tabel_prc_2023[[#This Row],[Zaakcode]],Tabel_VAS2023[Adviesofprocedure],"prc",Tabel_VAS2023[code_punten_forfait],16)</f>
        <v>6</v>
      </c>
      <c r="M26" s="35">
        <f>IFERROR(INDEX(Tabel_forfaits[forfait vanaf 2022],MATCH(Tabel_prc_2023[[#This Row],[Zaakcode]],Tabel_forfaits[Zaakcode],0)), "n.v.t.")</f>
        <v>10</v>
      </c>
      <c r="N26" s="35">
        <f>IFERROR(INDEX(Tabel_forfaits[forfait VdM II voor berekening],MATCH(Tabel_prc_2023[[#This Row],[Zaakcode]],Tabel_forfaits[Zaakcode],0)), "n.v.t.")</f>
        <v>9</v>
      </c>
      <c r="O26" s="36"/>
      <c r="P2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-1486</v>
      </c>
      <c r="Q2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-24</v>
      </c>
      <c r="R2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-13.5</v>
      </c>
      <c r="S26" s="35">
        <f>IF(Tabel_prc_2023[[#This Row],[procedure - forfait VdM II]]="n.v.t.",0,  Tabel_prc_2023[[#This Row],[procedure - aantal 0 punten]] * (Tabel_prc_2023[[#This Row],[procedure - forfait VdM II]] - Tabel_prc_2023[[#This Row],[procedure - forfait VdM I]]))</f>
        <v>0</v>
      </c>
      <c r="T2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1519</v>
      </c>
      <c r="U2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-1523.5</v>
      </c>
      <c r="V26" s="109">
        <f>Tabel_prc_2023[[#This Row],[procedure - totaal extra punten toev. VdM II t.o.v. huidig]] * tarief_huidig</f>
        <v>-233286.69924999998</v>
      </c>
    </row>
    <row r="27" spans="1:22" x14ac:dyDescent="0.3">
      <c r="A27"/>
      <c r="B27" s="1" t="s">
        <v>25</v>
      </c>
      <c r="C27" s="34" t="s">
        <v>5</v>
      </c>
      <c r="D2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157</v>
      </c>
      <c r="E2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1383</v>
      </c>
      <c r="F27" s="91">
        <f>SUMIFS(Tabel_VAS2023[aantal_VAS],Tabel_VAS2023[Zaakcode],Tabel_prc_2023[[#This Row],[Zaakcode]],Tabel_VAS2023[Adviesofprocedure],"prc",Tabel_VAS2023[code_punten_forfait],10)</f>
        <v>0</v>
      </c>
      <c r="G27" s="91">
        <f>SUMIFS(Tabel_VAS2023[aantal_VAS],Tabel_VAS2023[Zaakcode],Tabel_prc_2023[[#This Row],[Zaakcode]],Tabel_VAS2023[Adviesofprocedure],"prc",Tabel_VAS2023[code_punten_forfait],11)</f>
        <v>36</v>
      </c>
      <c r="H27" s="92">
        <f>SUMIFS(Tabel_VAS2023[aantal_VAS],Tabel_VAS2023[Zaakcode],Tabel_prc_2023[[#This Row],[Zaakcode]],Tabel_VAS2023[Adviesofprocedure],"prc",Tabel_VAS2023[code_punten_forfait],13)</f>
        <v>0</v>
      </c>
      <c r="I27" s="92">
        <f>SUMIFS(Tabel_VAS2023[aantal_VAS],Tabel_VAS2023[Zaakcode],Tabel_prc_2023[[#This Row],[Zaakcode]],Tabel_VAS2023[Adviesofprocedure],"prc",Tabel_VAS2023[code_punten_forfait],14)</f>
        <v>0</v>
      </c>
      <c r="J27" s="91">
        <f>SUMIFS(Tabel_VAS2023[aantal_VAS],Tabel_VAS2023[Zaakcode],Tabel_prc_2023[[#This Row],[Zaakcode]],Tabel_VAS2023[Adviesofprocedure],"prc",Tabel_VAS2023[code_punten_forfait],12)</f>
        <v>120</v>
      </c>
      <c r="K27" s="92">
        <f>SUMIFS(Tabel_VAS2023[aantal_VAS],Tabel_VAS2023[Zaakcode],Tabel_prc_2023[[#This Row],[Zaakcode]],Tabel_VAS2023[Adviesofprocedure],"prc",Tabel_VAS2023[code_punten_forfait],15)</f>
        <v>0</v>
      </c>
      <c r="L27" s="92">
        <f>SUMIFS(Tabel_VAS2023[aantal_VAS],Tabel_VAS2023[Zaakcode],Tabel_prc_2023[[#This Row],[Zaakcode]],Tabel_VAS2023[Adviesofprocedure],"prc",Tabel_VAS2023[code_punten_forfait],16)</f>
        <v>1</v>
      </c>
      <c r="M27" s="35">
        <f>IFERROR(INDEX(Tabel_forfaits[forfait vanaf 2022],MATCH(Tabel_prc_2023[[#This Row],[Zaakcode]],Tabel_forfaits[Zaakcode],0)), "n.v.t.")</f>
        <v>9</v>
      </c>
      <c r="N27" s="35">
        <f>IFERROR(INDEX(Tabel_forfaits[forfait VdM II voor berekening],MATCH(Tabel_prc_2023[[#This Row],[Zaakcode]],Tabel_forfaits[Zaakcode],0)), "n.v.t.")</f>
        <v>9</v>
      </c>
      <c r="O27" s="36"/>
      <c r="P2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2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2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7" s="35">
        <f>IF(Tabel_prc_2023[[#This Row],[procedure - forfait VdM II]]="n.v.t.",0,  Tabel_prc_2023[[#This Row],[procedure - aantal 0 punten]] * (Tabel_prc_2023[[#This Row],[procedure - forfait VdM II]] - Tabel_prc_2023[[#This Row],[procedure - forfait VdM I]]))</f>
        <v>0</v>
      </c>
      <c r="T2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157</v>
      </c>
      <c r="U2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27" s="109">
        <f>Tabel_prc_2023[[#This Row],[procedure - totaal extra punten toev. VdM II t.o.v. huidig]] * tarief_huidig</f>
        <v>0</v>
      </c>
    </row>
    <row r="28" spans="1:22" x14ac:dyDescent="0.3">
      <c r="A28"/>
      <c r="B28" s="1" t="s">
        <v>26</v>
      </c>
      <c r="C28" s="34" t="s">
        <v>5</v>
      </c>
      <c r="D2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380</v>
      </c>
      <c r="E2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7086.6</v>
      </c>
      <c r="F28" s="91">
        <f>SUMIFS(Tabel_VAS2023[aantal_VAS],Tabel_VAS2023[Zaakcode],Tabel_prc_2023[[#This Row],[Zaakcode]],Tabel_VAS2023[Adviesofprocedure],"prc",Tabel_VAS2023[code_punten_forfait],10)</f>
        <v>14</v>
      </c>
      <c r="G28" s="91">
        <f>SUMIFS(Tabel_VAS2023[aantal_VAS],Tabel_VAS2023[Zaakcode],Tabel_prc_2023[[#This Row],[Zaakcode]],Tabel_VAS2023[Adviesofprocedure],"prc",Tabel_VAS2023[code_punten_forfait],11)</f>
        <v>114</v>
      </c>
      <c r="H28" s="92">
        <f>SUMIFS(Tabel_VAS2023[aantal_VAS],Tabel_VAS2023[Zaakcode],Tabel_prc_2023[[#This Row],[Zaakcode]],Tabel_VAS2023[Adviesofprocedure],"prc",Tabel_VAS2023[code_punten_forfait],13)</f>
        <v>6</v>
      </c>
      <c r="I28" s="92">
        <f>SUMIFS(Tabel_VAS2023[aantal_VAS],Tabel_VAS2023[Zaakcode],Tabel_prc_2023[[#This Row],[Zaakcode]],Tabel_VAS2023[Adviesofprocedure],"prc",Tabel_VAS2023[code_punten_forfait],14)</f>
        <v>1</v>
      </c>
      <c r="J28" s="91">
        <f>SUMIFS(Tabel_VAS2023[aantal_VAS],Tabel_VAS2023[Zaakcode],Tabel_prc_2023[[#This Row],[Zaakcode]],Tabel_VAS2023[Adviesofprocedure],"prc",Tabel_VAS2023[code_punten_forfait],12)</f>
        <v>204</v>
      </c>
      <c r="K28" s="92">
        <f>SUMIFS(Tabel_VAS2023[aantal_VAS],Tabel_VAS2023[Zaakcode],Tabel_prc_2023[[#This Row],[Zaakcode]],Tabel_VAS2023[Adviesofprocedure],"prc",Tabel_VAS2023[code_punten_forfait],15)</f>
        <v>40</v>
      </c>
      <c r="L28" s="92">
        <f>SUMIFS(Tabel_VAS2023[aantal_VAS],Tabel_VAS2023[Zaakcode],Tabel_prc_2023[[#This Row],[Zaakcode]],Tabel_VAS2023[Adviesofprocedure],"prc",Tabel_VAS2023[code_punten_forfait],16)</f>
        <v>1</v>
      </c>
      <c r="M28" s="35">
        <f>IFERROR(INDEX(Tabel_forfaits[forfait vanaf 2022],MATCH(Tabel_prc_2023[[#This Row],[Zaakcode]],Tabel_forfaits[Zaakcode],0)), "n.v.t.")</f>
        <v>25</v>
      </c>
      <c r="N28" s="35">
        <f>IFERROR(INDEX(Tabel_forfaits[forfait VdM II voor berekening],MATCH(Tabel_prc_2023[[#This Row],[Zaakcode]],Tabel_forfaits[Zaakcode],0)), "n.v.t.")</f>
        <v>25</v>
      </c>
      <c r="O28" s="36"/>
      <c r="P2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2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2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8" s="35">
        <f>IF(Tabel_prc_2023[[#This Row],[procedure - forfait VdM II]]="n.v.t.",0,  Tabel_prc_2023[[#This Row],[procedure - aantal 0 punten]] * (Tabel_prc_2023[[#This Row],[procedure - forfait VdM II]] - Tabel_prc_2023[[#This Row],[procedure - forfait VdM I]]))</f>
        <v>0</v>
      </c>
      <c r="T2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366</v>
      </c>
      <c r="U2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28" s="109">
        <f>Tabel_prc_2023[[#This Row],[procedure - totaal extra punten toev. VdM II t.o.v. huidig]] * tarief_huidig</f>
        <v>0</v>
      </c>
    </row>
    <row r="29" spans="1:22" x14ac:dyDescent="0.3">
      <c r="A29"/>
      <c r="B29" s="1" t="s">
        <v>27</v>
      </c>
      <c r="C29" s="34" t="s">
        <v>5</v>
      </c>
      <c r="D2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202</v>
      </c>
      <c r="E2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1720.6</v>
      </c>
      <c r="F29" s="91">
        <f>SUMIFS(Tabel_VAS2023[aantal_VAS],Tabel_VAS2023[Zaakcode],Tabel_prc_2023[[#This Row],[Zaakcode]],Tabel_VAS2023[Adviesofprocedure],"prc",Tabel_VAS2023[code_punten_forfait],10)</f>
        <v>0</v>
      </c>
      <c r="G29" s="91">
        <f>SUMIFS(Tabel_VAS2023[aantal_VAS],Tabel_VAS2023[Zaakcode],Tabel_prc_2023[[#This Row],[Zaakcode]],Tabel_VAS2023[Adviesofprocedure],"prc",Tabel_VAS2023[code_punten_forfait],11)</f>
        <v>72</v>
      </c>
      <c r="H29" s="92">
        <f>SUMIFS(Tabel_VAS2023[aantal_VAS],Tabel_VAS2023[Zaakcode],Tabel_prc_2023[[#This Row],[Zaakcode]],Tabel_VAS2023[Adviesofprocedure],"prc",Tabel_VAS2023[code_punten_forfait],13)</f>
        <v>3</v>
      </c>
      <c r="I29" s="92">
        <f>SUMIFS(Tabel_VAS2023[aantal_VAS],Tabel_VAS2023[Zaakcode],Tabel_prc_2023[[#This Row],[Zaakcode]],Tabel_VAS2023[Adviesofprocedure],"prc",Tabel_VAS2023[code_punten_forfait],14)</f>
        <v>5</v>
      </c>
      <c r="J29" s="91">
        <f>SUMIFS(Tabel_VAS2023[aantal_VAS],Tabel_VAS2023[Zaakcode],Tabel_prc_2023[[#This Row],[Zaakcode]],Tabel_VAS2023[Adviesofprocedure],"prc",Tabel_VAS2023[code_punten_forfait],12)</f>
        <v>110</v>
      </c>
      <c r="K29" s="92">
        <f>SUMIFS(Tabel_VAS2023[aantal_VAS],Tabel_VAS2023[Zaakcode],Tabel_prc_2023[[#This Row],[Zaakcode]],Tabel_VAS2023[Adviesofprocedure],"prc",Tabel_VAS2023[code_punten_forfait],15)</f>
        <v>10</v>
      </c>
      <c r="L29" s="92">
        <f>SUMIFS(Tabel_VAS2023[aantal_VAS],Tabel_VAS2023[Zaakcode],Tabel_prc_2023[[#This Row],[Zaakcode]],Tabel_VAS2023[Adviesofprocedure],"prc",Tabel_VAS2023[code_punten_forfait],16)</f>
        <v>2</v>
      </c>
      <c r="M29" s="35">
        <f>IFERROR(INDEX(Tabel_forfaits[forfait vanaf 2022],MATCH(Tabel_prc_2023[[#This Row],[Zaakcode]],Tabel_forfaits[Zaakcode],0)), "n.v.t.")</f>
        <v>9</v>
      </c>
      <c r="N29" s="35">
        <f>IFERROR(INDEX(Tabel_forfaits[forfait VdM II voor berekening],MATCH(Tabel_prc_2023[[#This Row],[Zaakcode]],Tabel_forfaits[Zaakcode],0)), "n.v.t.")</f>
        <v>9</v>
      </c>
      <c r="O29" s="36"/>
      <c r="P2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2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2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29" s="35">
        <f>IF(Tabel_prc_2023[[#This Row],[procedure - forfait VdM II]]="n.v.t.",0,  Tabel_prc_2023[[#This Row],[procedure - aantal 0 punten]] * (Tabel_prc_2023[[#This Row],[procedure - forfait VdM II]] - Tabel_prc_2023[[#This Row],[procedure - forfait VdM I]]))</f>
        <v>0</v>
      </c>
      <c r="T2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202</v>
      </c>
      <c r="U2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29" s="109">
        <f>Tabel_prc_2023[[#This Row],[procedure - totaal extra punten toev. VdM II t.o.v. huidig]] * tarief_huidig</f>
        <v>0</v>
      </c>
    </row>
    <row r="30" spans="1:22" x14ac:dyDescent="0.3">
      <c r="A30"/>
      <c r="B30" s="1" t="s">
        <v>28</v>
      </c>
      <c r="C30" s="34" t="s">
        <v>5</v>
      </c>
      <c r="D3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90</v>
      </c>
      <c r="E3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1522.3</v>
      </c>
      <c r="F30" s="91">
        <f>SUMIFS(Tabel_VAS2023[aantal_VAS],Tabel_VAS2023[Zaakcode],Tabel_prc_2023[[#This Row],[Zaakcode]],Tabel_VAS2023[Adviesofprocedure],"prc",Tabel_VAS2023[code_punten_forfait],10)</f>
        <v>2</v>
      </c>
      <c r="G30" s="91">
        <f>SUMIFS(Tabel_VAS2023[aantal_VAS],Tabel_VAS2023[Zaakcode],Tabel_prc_2023[[#This Row],[Zaakcode]],Tabel_VAS2023[Adviesofprocedure],"prc",Tabel_VAS2023[code_punten_forfait],11)</f>
        <v>28</v>
      </c>
      <c r="H30" s="92">
        <f>SUMIFS(Tabel_VAS2023[aantal_VAS],Tabel_VAS2023[Zaakcode],Tabel_prc_2023[[#This Row],[Zaakcode]],Tabel_VAS2023[Adviesofprocedure],"prc",Tabel_VAS2023[code_punten_forfait],13)</f>
        <v>3</v>
      </c>
      <c r="I30" s="92">
        <f>SUMIFS(Tabel_VAS2023[aantal_VAS],Tabel_VAS2023[Zaakcode],Tabel_prc_2023[[#This Row],[Zaakcode]],Tabel_VAS2023[Adviesofprocedure],"prc",Tabel_VAS2023[code_punten_forfait],14)</f>
        <v>0</v>
      </c>
      <c r="J30" s="91">
        <f>SUMIFS(Tabel_VAS2023[aantal_VAS],Tabel_VAS2023[Zaakcode],Tabel_prc_2023[[#This Row],[Zaakcode]],Tabel_VAS2023[Adviesofprocedure],"prc",Tabel_VAS2023[code_punten_forfait],12)</f>
        <v>55</v>
      </c>
      <c r="K30" s="92">
        <f>SUMIFS(Tabel_VAS2023[aantal_VAS],Tabel_VAS2023[Zaakcode],Tabel_prc_2023[[#This Row],[Zaakcode]],Tabel_VAS2023[Adviesofprocedure],"prc",Tabel_VAS2023[code_punten_forfait],15)</f>
        <v>2</v>
      </c>
      <c r="L30" s="92">
        <f>SUMIFS(Tabel_VAS2023[aantal_VAS],Tabel_VAS2023[Zaakcode],Tabel_prc_2023[[#This Row],[Zaakcode]],Tabel_VAS2023[Adviesofprocedure],"prc",Tabel_VAS2023[code_punten_forfait],16)</f>
        <v>0</v>
      </c>
      <c r="M30" s="35">
        <f>IFERROR(INDEX(Tabel_forfaits[forfait vanaf 2022],MATCH(Tabel_prc_2023[[#This Row],[Zaakcode]],Tabel_forfaits[Zaakcode],0)), "n.v.t.")</f>
        <v>21</v>
      </c>
      <c r="N30" s="35">
        <f>IFERROR(INDEX(Tabel_forfaits[forfait VdM II voor berekening],MATCH(Tabel_prc_2023[[#This Row],[Zaakcode]],Tabel_forfaits[Zaakcode],0)), "n.v.t.")</f>
        <v>21</v>
      </c>
      <c r="O30" s="36"/>
      <c r="P3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0" s="35">
        <f>IF(Tabel_prc_2023[[#This Row],[procedure - forfait VdM II]]="n.v.t.",0,  Tabel_prc_2023[[#This Row],[procedure - aantal 0 punten]] * (Tabel_prc_2023[[#This Row],[procedure - forfait VdM II]] - Tabel_prc_2023[[#This Row],[procedure - forfait VdM I]]))</f>
        <v>0</v>
      </c>
      <c r="T3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88</v>
      </c>
      <c r="U3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0" s="109">
        <f>Tabel_prc_2023[[#This Row],[procedure - totaal extra punten toev. VdM II t.o.v. huidig]] * tarief_huidig</f>
        <v>0</v>
      </c>
    </row>
    <row r="31" spans="1:22" x14ac:dyDescent="0.3">
      <c r="A31"/>
      <c r="B31" s="1" t="s">
        <v>29</v>
      </c>
      <c r="C31" s="34" t="s">
        <v>5</v>
      </c>
      <c r="D3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2108</v>
      </c>
      <c r="E3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28668.9</v>
      </c>
      <c r="F31" s="91">
        <f>SUMIFS(Tabel_VAS2023[aantal_VAS],Tabel_VAS2023[Zaakcode],Tabel_prc_2023[[#This Row],[Zaakcode]],Tabel_VAS2023[Adviesofprocedure],"prc",Tabel_VAS2023[code_punten_forfait],10)</f>
        <v>32</v>
      </c>
      <c r="G31" s="91">
        <f>SUMIFS(Tabel_VAS2023[aantal_VAS],Tabel_VAS2023[Zaakcode],Tabel_prc_2023[[#This Row],[Zaakcode]],Tabel_VAS2023[Adviesofprocedure],"prc",Tabel_VAS2023[code_punten_forfait],11)</f>
        <v>204</v>
      </c>
      <c r="H31" s="92">
        <f>SUMIFS(Tabel_VAS2023[aantal_VAS],Tabel_VAS2023[Zaakcode],Tabel_prc_2023[[#This Row],[Zaakcode]],Tabel_VAS2023[Adviesofprocedure],"prc",Tabel_VAS2023[code_punten_forfait],13)</f>
        <v>21</v>
      </c>
      <c r="I31" s="92">
        <f>SUMIFS(Tabel_VAS2023[aantal_VAS],Tabel_VAS2023[Zaakcode],Tabel_prc_2023[[#This Row],[Zaakcode]],Tabel_VAS2023[Adviesofprocedure],"prc",Tabel_VAS2023[code_punten_forfait],14)</f>
        <v>1</v>
      </c>
      <c r="J31" s="91">
        <f>SUMIFS(Tabel_VAS2023[aantal_VAS],Tabel_VAS2023[Zaakcode],Tabel_prc_2023[[#This Row],[Zaakcode]],Tabel_VAS2023[Adviesofprocedure],"prc",Tabel_VAS2023[code_punten_forfait],12)</f>
        <v>1714</v>
      </c>
      <c r="K31" s="92">
        <f>SUMIFS(Tabel_VAS2023[aantal_VAS],Tabel_VAS2023[Zaakcode],Tabel_prc_2023[[#This Row],[Zaakcode]],Tabel_VAS2023[Adviesofprocedure],"prc",Tabel_VAS2023[code_punten_forfait],15)</f>
        <v>134</v>
      </c>
      <c r="L31" s="92">
        <f>SUMIFS(Tabel_VAS2023[aantal_VAS],Tabel_VAS2023[Zaakcode],Tabel_prc_2023[[#This Row],[Zaakcode]],Tabel_VAS2023[Adviesofprocedure],"prc",Tabel_VAS2023[code_punten_forfait],16)</f>
        <v>2</v>
      </c>
      <c r="M31" s="35">
        <f>IFERROR(INDEX(Tabel_forfaits[forfait vanaf 2022],MATCH(Tabel_prc_2023[[#This Row],[Zaakcode]],Tabel_forfaits[Zaakcode],0)), "n.v.t.")</f>
        <v>15</v>
      </c>
      <c r="N31" s="35">
        <f>IFERROR(INDEX(Tabel_forfaits[forfait VdM II voor berekening],MATCH(Tabel_prc_2023[[#This Row],[Zaakcode]],Tabel_forfaits[Zaakcode],0)), "n.v.t.")</f>
        <v>16</v>
      </c>
      <c r="O31" s="36"/>
      <c r="P3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1918</v>
      </c>
      <c r="Q3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155</v>
      </c>
      <c r="R3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4.5</v>
      </c>
      <c r="S31" s="35">
        <f>IF(Tabel_prc_2023[[#This Row],[procedure - forfait VdM II]]="n.v.t.",0,  Tabel_prc_2023[[#This Row],[procedure - aantal 0 punten]] * (Tabel_prc_2023[[#This Row],[procedure - forfait VdM II]] - Tabel_prc_2023[[#This Row],[procedure - forfait VdM I]]))</f>
        <v>32</v>
      </c>
      <c r="T3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2076</v>
      </c>
      <c r="U3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2077.5</v>
      </c>
      <c r="V31" s="109">
        <f>Tabel_prc_2023[[#This Row],[procedure - totaal extra punten toev. VdM II t.o.v. huidig]] * tarief_huidig</f>
        <v>318118.22624999995</v>
      </c>
    </row>
    <row r="32" spans="1:22" x14ac:dyDescent="0.3">
      <c r="A32"/>
      <c r="B32" s="1" t="s">
        <v>30</v>
      </c>
      <c r="C32" s="34" t="s">
        <v>5</v>
      </c>
      <c r="D3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297</v>
      </c>
      <c r="E3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5541.3</v>
      </c>
      <c r="F32" s="91">
        <f>SUMIFS(Tabel_VAS2023[aantal_VAS],Tabel_VAS2023[Zaakcode],Tabel_prc_2023[[#This Row],[Zaakcode]],Tabel_VAS2023[Adviesofprocedure],"prc",Tabel_VAS2023[code_punten_forfait],10)</f>
        <v>0</v>
      </c>
      <c r="G32" s="91">
        <f>SUMIFS(Tabel_VAS2023[aantal_VAS],Tabel_VAS2023[Zaakcode],Tabel_prc_2023[[#This Row],[Zaakcode]],Tabel_VAS2023[Adviesofprocedure],"prc",Tabel_VAS2023[code_punten_forfait],11)</f>
        <v>73</v>
      </c>
      <c r="H32" s="92">
        <f>SUMIFS(Tabel_VAS2023[aantal_VAS],Tabel_VAS2023[Zaakcode],Tabel_prc_2023[[#This Row],[Zaakcode]],Tabel_VAS2023[Adviesofprocedure],"prc",Tabel_VAS2023[code_punten_forfait],13)</f>
        <v>1</v>
      </c>
      <c r="I32" s="92">
        <f>SUMIFS(Tabel_VAS2023[aantal_VAS],Tabel_VAS2023[Zaakcode],Tabel_prc_2023[[#This Row],[Zaakcode]],Tabel_VAS2023[Adviesofprocedure],"prc",Tabel_VAS2023[code_punten_forfait],14)</f>
        <v>0</v>
      </c>
      <c r="J32" s="91">
        <f>SUMIFS(Tabel_VAS2023[aantal_VAS],Tabel_VAS2023[Zaakcode],Tabel_prc_2023[[#This Row],[Zaakcode]],Tabel_VAS2023[Adviesofprocedure],"prc",Tabel_VAS2023[code_punten_forfait],12)</f>
        <v>201</v>
      </c>
      <c r="K32" s="92">
        <f>SUMIFS(Tabel_VAS2023[aantal_VAS],Tabel_VAS2023[Zaakcode],Tabel_prc_2023[[#This Row],[Zaakcode]],Tabel_VAS2023[Adviesofprocedure],"prc",Tabel_VAS2023[code_punten_forfait],15)</f>
        <v>22</v>
      </c>
      <c r="L32" s="92">
        <f>SUMIFS(Tabel_VAS2023[aantal_VAS],Tabel_VAS2023[Zaakcode],Tabel_prc_2023[[#This Row],[Zaakcode]],Tabel_VAS2023[Adviesofprocedure],"prc",Tabel_VAS2023[code_punten_forfait],16)</f>
        <v>0</v>
      </c>
      <c r="M32" s="35">
        <f>IFERROR(INDEX(Tabel_forfaits[forfait vanaf 2022],MATCH(Tabel_prc_2023[[#This Row],[Zaakcode]],Tabel_forfaits[Zaakcode],0)), "n.v.t.")</f>
        <v>22</v>
      </c>
      <c r="N32" s="35">
        <f>IFERROR(INDEX(Tabel_forfaits[forfait VdM II voor berekening],MATCH(Tabel_prc_2023[[#This Row],[Zaakcode]],Tabel_forfaits[Zaakcode],0)), "n.v.t.")</f>
        <v>22</v>
      </c>
      <c r="O32" s="36"/>
      <c r="P3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2" s="35">
        <f>IF(Tabel_prc_2023[[#This Row],[procedure - forfait VdM II]]="n.v.t.",0,  Tabel_prc_2023[[#This Row],[procedure - aantal 0 punten]] * (Tabel_prc_2023[[#This Row],[procedure - forfait VdM II]] - Tabel_prc_2023[[#This Row],[procedure - forfait VdM I]]))</f>
        <v>0</v>
      </c>
      <c r="T3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297</v>
      </c>
      <c r="U3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2" s="109">
        <f>Tabel_prc_2023[[#This Row],[procedure - totaal extra punten toev. VdM II t.o.v. huidig]] * tarief_huidig</f>
        <v>0</v>
      </c>
    </row>
    <row r="33" spans="1:22" x14ac:dyDescent="0.3">
      <c r="A33"/>
      <c r="B33" s="1" t="s">
        <v>31</v>
      </c>
      <c r="C33" s="34" t="s">
        <v>5</v>
      </c>
      <c r="D3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91</v>
      </c>
      <c r="E3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1115.5</v>
      </c>
      <c r="F33" s="91">
        <f>SUMIFS(Tabel_VAS2023[aantal_VAS],Tabel_VAS2023[Zaakcode],Tabel_prc_2023[[#This Row],[Zaakcode]],Tabel_VAS2023[Adviesofprocedure],"prc",Tabel_VAS2023[code_punten_forfait],10)</f>
        <v>2</v>
      </c>
      <c r="G33" s="91">
        <f>SUMIFS(Tabel_VAS2023[aantal_VAS],Tabel_VAS2023[Zaakcode],Tabel_prc_2023[[#This Row],[Zaakcode]],Tabel_VAS2023[Adviesofprocedure],"prc",Tabel_VAS2023[code_punten_forfait],11)</f>
        <v>7</v>
      </c>
      <c r="H33" s="92">
        <f>SUMIFS(Tabel_VAS2023[aantal_VAS],Tabel_VAS2023[Zaakcode],Tabel_prc_2023[[#This Row],[Zaakcode]],Tabel_VAS2023[Adviesofprocedure],"prc",Tabel_VAS2023[code_punten_forfait],13)</f>
        <v>0</v>
      </c>
      <c r="I33" s="92">
        <f>SUMIFS(Tabel_VAS2023[aantal_VAS],Tabel_VAS2023[Zaakcode],Tabel_prc_2023[[#This Row],[Zaakcode]],Tabel_VAS2023[Adviesofprocedure],"prc",Tabel_VAS2023[code_punten_forfait],14)</f>
        <v>1</v>
      </c>
      <c r="J33" s="91">
        <f>SUMIFS(Tabel_VAS2023[aantal_VAS],Tabel_VAS2023[Zaakcode],Tabel_prc_2023[[#This Row],[Zaakcode]],Tabel_VAS2023[Adviesofprocedure],"prc",Tabel_VAS2023[code_punten_forfait],12)</f>
        <v>62</v>
      </c>
      <c r="K33" s="92">
        <f>SUMIFS(Tabel_VAS2023[aantal_VAS],Tabel_VAS2023[Zaakcode],Tabel_prc_2023[[#This Row],[Zaakcode]],Tabel_VAS2023[Adviesofprocedure],"prc",Tabel_VAS2023[code_punten_forfait],15)</f>
        <v>19</v>
      </c>
      <c r="L33" s="92">
        <f>SUMIFS(Tabel_VAS2023[aantal_VAS],Tabel_VAS2023[Zaakcode],Tabel_prc_2023[[#This Row],[Zaakcode]],Tabel_VAS2023[Adviesofprocedure],"prc",Tabel_VAS2023[code_punten_forfait],16)</f>
        <v>0</v>
      </c>
      <c r="M33" s="35">
        <f>IFERROR(INDEX(Tabel_forfaits[forfait vanaf 2022],MATCH(Tabel_prc_2023[[#This Row],[Zaakcode]],Tabel_forfaits[Zaakcode],0)), "n.v.t.")</f>
        <v>15</v>
      </c>
      <c r="N33" s="35">
        <f>IFERROR(INDEX(Tabel_forfaits[forfait VdM II voor berekening],MATCH(Tabel_prc_2023[[#This Row],[Zaakcode]],Tabel_forfaits[Zaakcode],0)), "n.v.t.")</f>
        <v>18</v>
      </c>
      <c r="O33" s="36"/>
      <c r="P3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207</v>
      </c>
      <c r="Q3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57</v>
      </c>
      <c r="R3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4.5</v>
      </c>
      <c r="S33" s="35">
        <f>IF(Tabel_prc_2023[[#This Row],[procedure - forfait VdM II]]="n.v.t.",0,  Tabel_prc_2023[[#This Row],[procedure - aantal 0 punten]] * (Tabel_prc_2023[[#This Row],[procedure - forfait VdM II]] - Tabel_prc_2023[[#This Row],[procedure - forfait VdM I]]))</f>
        <v>6</v>
      </c>
      <c r="T3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89</v>
      </c>
      <c r="U3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268.5</v>
      </c>
      <c r="V33" s="109">
        <f>Tabel_prc_2023[[#This Row],[procedure - totaal extra punten toev. VdM II t.o.v. huidig]] * tarief_huidig</f>
        <v>41114.196749999996</v>
      </c>
    </row>
    <row r="34" spans="1:22" x14ac:dyDescent="0.3">
      <c r="A34"/>
      <c r="B34" s="1" t="s">
        <v>32</v>
      </c>
      <c r="C34" s="34" t="s">
        <v>5</v>
      </c>
      <c r="D3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909</v>
      </c>
      <c r="E3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10890</v>
      </c>
      <c r="F34" s="91">
        <f>SUMIFS(Tabel_VAS2023[aantal_VAS],Tabel_VAS2023[Zaakcode],Tabel_prc_2023[[#This Row],[Zaakcode]],Tabel_VAS2023[Adviesofprocedure],"prc",Tabel_VAS2023[code_punten_forfait],10)</f>
        <v>13</v>
      </c>
      <c r="G34" s="91">
        <f>SUMIFS(Tabel_VAS2023[aantal_VAS],Tabel_VAS2023[Zaakcode],Tabel_prc_2023[[#This Row],[Zaakcode]],Tabel_VAS2023[Adviesofprocedure],"prc",Tabel_VAS2023[code_punten_forfait],11)</f>
        <v>169</v>
      </c>
      <c r="H34" s="92">
        <f>SUMIFS(Tabel_VAS2023[aantal_VAS],Tabel_VAS2023[Zaakcode],Tabel_prc_2023[[#This Row],[Zaakcode]],Tabel_VAS2023[Adviesofprocedure],"prc",Tabel_VAS2023[code_punten_forfait],13)</f>
        <v>13</v>
      </c>
      <c r="I34" s="92">
        <f>SUMIFS(Tabel_VAS2023[aantal_VAS],Tabel_VAS2023[Zaakcode],Tabel_prc_2023[[#This Row],[Zaakcode]],Tabel_VAS2023[Adviesofprocedure],"prc",Tabel_VAS2023[code_punten_forfait],14)</f>
        <v>1</v>
      </c>
      <c r="J34" s="91">
        <f>SUMIFS(Tabel_VAS2023[aantal_VAS],Tabel_VAS2023[Zaakcode],Tabel_prc_2023[[#This Row],[Zaakcode]],Tabel_VAS2023[Adviesofprocedure],"prc",Tabel_VAS2023[code_punten_forfait],12)</f>
        <v>566</v>
      </c>
      <c r="K34" s="92">
        <f>SUMIFS(Tabel_VAS2023[aantal_VAS],Tabel_VAS2023[Zaakcode],Tabel_prc_2023[[#This Row],[Zaakcode]],Tabel_VAS2023[Adviesofprocedure],"prc",Tabel_VAS2023[code_punten_forfait],15)</f>
        <v>145</v>
      </c>
      <c r="L34" s="92">
        <f>SUMIFS(Tabel_VAS2023[aantal_VAS],Tabel_VAS2023[Zaakcode],Tabel_prc_2023[[#This Row],[Zaakcode]],Tabel_VAS2023[Adviesofprocedure],"prc",Tabel_VAS2023[code_punten_forfait],16)</f>
        <v>2</v>
      </c>
      <c r="M34" s="35">
        <f>IFERROR(INDEX(Tabel_forfaits[forfait vanaf 2022],MATCH(Tabel_prc_2023[[#This Row],[Zaakcode]],Tabel_forfaits[Zaakcode],0)), "n.v.t.")</f>
        <v>15</v>
      </c>
      <c r="N34" s="35">
        <f>IFERROR(INDEX(Tabel_forfaits[forfait VdM II voor berekening],MATCH(Tabel_prc_2023[[#This Row],[Zaakcode]],Tabel_forfaits[Zaakcode],0)), "n.v.t.")</f>
        <v>18</v>
      </c>
      <c r="O34" s="36"/>
      <c r="P3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2205</v>
      </c>
      <c r="Q3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474</v>
      </c>
      <c r="R3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13.5</v>
      </c>
      <c r="S34" s="35">
        <f>IF(Tabel_prc_2023[[#This Row],[procedure - forfait VdM II]]="n.v.t.",0,  Tabel_prc_2023[[#This Row],[procedure - aantal 0 punten]] * (Tabel_prc_2023[[#This Row],[procedure - forfait VdM II]] - Tabel_prc_2023[[#This Row],[procedure - forfait VdM I]]))</f>
        <v>39</v>
      </c>
      <c r="T3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896</v>
      </c>
      <c r="U3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2692.5</v>
      </c>
      <c r="V34" s="109">
        <f>Tabel_prc_2023[[#This Row],[procedure - totaal extra punten toev. VdM II t.o.v. huidig]] * tarief_huidig</f>
        <v>412290.40874999994</v>
      </c>
    </row>
    <row r="35" spans="1:22" x14ac:dyDescent="0.3">
      <c r="A35"/>
      <c r="B35" s="1" t="s">
        <v>33</v>
      </c>
      <c r="C35" s="34" t="s">
        <v>5</v>
      </c>
      <c r="D3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24</v>
      </c>
      <c r="E3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378</v>
      </c>
      <c r="F35" s="91">
        <f>SUMIFS(Tabel_VAS2023[aantal_VAS],Tabel_VAS2023[Zaakcode],Tabel_prc_2023[[#This Row],[Zaakcode]],Tabel_VAS2023[Adviesofprocedure],"prc",Tabel_VAS2023[code_punten_forfait],10)</f>
        <v>2</v>
      </c>
      <c r="G35" s="91">
        <f>SUMIFS(Tabel_VAS2023[aantal_VAS],Tabel_VAS2023[Zaakcode],Tabel_prc_2023[[#This Row],[Zaakcode]],Tabel_VAS2023[Adviesofprocedure],"prc",Tabel_VAS2023[code_punten_forfait],11)</f>
        <v>4</v>
      </c>
      <c r="H35" s="92">
        <f>SUMIFS(Tabel_VAS2023[aantal_VAS],Tabel_VAS2023[Zaakcode],Tabel_prc_2023[[#This Row],[Zaakcode]],Tabel_VAS2023[Adviesofprocedure],"prc",Tabel_VAS2023[code_punten_forfait],13)</f>
        <v>0</v>
      </c>
      <c r="I35" s="92">
        <f>SUMIFS(Tabel_VAS2023[aantal_VAS],Tabel_VAS2023[Zaakcode],Tabel_prc_2023[[#This Row],[Zaakcode]],Tabel_VAS2023[Adviesofprocedure],"prc",Tabel_VAS2023[code_punten_forfait],14)</f>
        <v>0</v>
      </c>
      <c r="J35" s="91">
        <f>SUMIFS(Tabel_VAS2023[aantal_VAS],Tabel_VAS2023[Zaakcode],Tabel_prc_2023[[#This Row],[Zaakcode]],Tabel_VAS2023[Adviesofprocedure],"prc",Tabel_VAS2023[code_punten_forfait],12)</f>
        <v>18</v>
      </c>
      <c r="K35" s="92">
        <f>SUMIFS(Tabel_VAS2023[aantal_VAS],Tabel_VAS2023[Zaakcode],Tabel_prc_2023[[#This Row],[Zaakcode]],Tabel_VAS2023[Adviesofprocedure],"prc",Tabel_VAS2023[code_punten_forfait],15)</f>
        <v>0</v>
      </c>
      <c r="L35" s="92">
        <f>SUMIFS(Tabel_VAS2023[aantal_VAS],Tabel_VAS2023[Zaakcode],Tabel_prc_2023[[#This Row],[Zaakcode]],Tabel_VAS2023[Adviesofprocedure],"prc",Tabel_VAS2023[code_punten_forfait],16)</f>
        <v>0</v>
      </c>
      <c r="M35" s="35">
        <f>IFERROR(INDEX(Tabel_forfaits[forfait vanaf 2022],MATCH(Tabel_prc_2023[[#This Row],[Zaakcode]],Tabel_forfaits[Zaakcode],0)), "n.v.t.")</f>
        <v>19</v>
      </c>
      <c r="N35" s="35">
        <f>IFERROR(INDEX(Tabel_forfaits[forfait VdM II voor berekening],MATCH(Tabel_prc_2023[[#This Row],[Zaakcode]],Tabel_forfaits[Zaakcode],0)), "n.v.t.")</f>
        <v>19</v>
      </c>
      <c r="O35" s="36"/>
      <c r="P3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5" s="35">
        <f>IF(Tabel_prc_2023[[#This Row],[procedure - forfait VdM II]]="n.v.t.",0,  Tabel_prc_2023[[#This Row],[procedure - aantal 0 punten]] * (Tabel_prc_2023[[#This Row],[procedure - forfait VdM II]] - Tabel_prc_2023[[#This Row],[procedure - forfait VdM I]]))</f>
        <v>0</v>
      </c>
      <c r="T3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22</v>
      </c>
      <c r="U3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5" s="109">
        <f>Tabel_prc_2023[[#This Row],[procedure - totaal extra punten toev. VdM II t.o.v. huidig]] * tarief_huidig</f>
        <v>0</v>
      </c>
    </row>
    <row r="36" spans="1:22" x14ac:dyDescent="0.3">
      <c r="A36"/>
      <c r="B36" s="1" t="s">
        <v>34</v>
      </c>
      <c r="C36" s="34" t="s">
        <v>5</v>
      </c>
      <c r="D3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69</v>
      </c>
      <c r="E3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749</v>
      </c>
      <c r="F36" s="91">
        <f>SUMIFS(Tabel_VAS2023[aantal_VAS],Tabel_VAS2023[Zaakcode],Tabel_prc_2023[[#This Row],[Zaakcode]],Tabel_VAS2023[Adviesofprocedure],"prc",Tabel_VAS2023[code_punten_forfait],10)</f>
        <v>0</v>
      </c>
      <c r="G36" s="91">
        <f>SUMIFS(Tabel_VAS2023[aantal_VAS],Tabel_VAS2023[Zaakcode],Tabel_prc_2023[[#This Row],[Zaakcode]],Tabel_VAS2023[Adviesofprocedure],"prc",Tabel_VAS2023[code_punten_forfait],11)</f>
        <v>5</v>
      </c>
      <c r="H36" s="92">
        <f>SUMIFS(Tabel_VAS2023[aantal_VAS],Tabel_VAS2023[Zaakcode],Tabel_prc_2023[[#This Row],[Zaakcode]],Tabel_VAS2023[Adviesofprocedure],"prc",Tabel_VAS2023[code_punten_forfait],13)</f>
        <v>0</v>
      </c>
      <c r="I36" s="92">
        <f>SUMIFS(Tabel_VAS2023[aantal_VAS],Tabel_VAS2023[Zaakcode],Tabel_prc_2023[[#This Row],[Zaakcode]],Tabel_VAS2023[Adviesofprocedure],"prc",Tabel_VAS2023[code_punten_forfait],14)</f>
        <v>0</v>
      </c>
      <c r="J36" s="91">
        <f>SUMIFS(Tabel_VAS2023[aantal_VAS],Tabel_VAS2023[Zaakcode],Tabel_prc_2023[[#This Row],[Zaakcode]],Tabel_VAS2023[Adviesofprocedure],"prc",Tabel_VAS2023[code_punten_forfait],12)</f>
        <v>64</v>
      </c>
      <c r="K36" s="92">
        <f>SUMIFS(Tabel_VAS2023[aantal_VAS],Tabel_VAS2023[Zaakcode],Tabel_prc_2023[[#This Row],[Zaakcode]],Tabel_VAS2023[Adviesofprocedure],"prc",Tabel_VAS2023[code_punten_forfait],15)</f>
        <v>0</v>
      </c>
      <c r="L36" s="92">
        <f>SUMIFS(Tabel_VAS2023[aantal_VAS],Tabel_VAS2023[Zaakcode],Tabel_prc_2023[[#This Row],[Zaakcode]],Tabel_VAS2023[Adviesofprocedure],"prc",Tabel_VAS2023[code_punten_forfait],16)</f>
        <v>0</v>
      </c>
      <c r="M36" s="35">
        <f>IFERROR(INDEX(Tabel_forfaits[forfait vanaf 2022],MATCH(Tabel_prc_2023[[#This Row],[Zaakcode]],Tabel_forfaits[Zaakcode],0)), "n.v.t.")</f>
        <v>11</v>
      </c>
      <c r="N36" s="35">
        <f>IFERROR(INDEX(Tabel_forfaits[forfait VdM II voor berekening],MATCH(Tabel_prc_2023[[#This Row],[Zaakcode]],Tabel_forfaits[Zaakcode],0)), "n.v.t.")</f>
        <v>11</v>
      </c>
      <c r="O36" s="36"/>
      <c r="P3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6" s="35">
        <f>IF(Tabel_prc_2023[[#This Row],[procedure - forfait VdM II]]="n.v.t.",0,  Tabel_prc_2023[[#This Row],[procedure - aantal 0 punten]] * (Tabel_prc_2023[[#This Row],[procedure - forfait VdM II]] - Tabel_prc_2023[[#This Row],[procedure - forfait VdM I]]))</f>
        <v>0</v>
      </c>
      <c r="T3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69</v>
      </c>
      <c r="U3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6" s="109">
        <f>Tabel_prc_2023[[#This Row],[procedure - totaal extra punten toev. VdM II t.o.v. huidig]] * tarief_huidig</f>
        <v>0</v>
      </c>
    </row>
    <row r="37" spans="1:22" x14ac:dyDescent="0.3">
      <c r="A37"/>
      <c r="B37" s="1" t="s">
        <v>35</v>
      </c>
      <c r="C37" s="34" t="s">
        <v>5</v>
      </c>
      <c r="D3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107</v>
      </c>
      <c r="E3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1482.8</v>
      </c>
      <c r="F37" s="91">
        <f>SUMIFS(Tabel_VAS2023[aantal_VAS],Tabel_VAS2023[Zaakcode],Tabel_prc_2023[[#This Row],[Zaakcode]],Tabel_VAS2023[Adviesofprocedure],"prc",Tabel_VAS2023[code_punten_forfait],10)</f>
        <v>0</v>
      </c>
      <c r="G37" s="91">
        <f>SUMIFS(Tabel_VAS2023[aantal_VAS],Tabel_VAS2023[Zaakcode],Tabel_prc_2023[[#This Row],[Zaakcode]],Tabel_VAS2023[Adviesofprocedure],"prc",Tabel_VAS2023[code_punten_forfait],11)</f>
        <v>27</v>
      </c>
      <c r="H37" s="92">
        <f>SUMIFS(Tabel_VAS2023[aantal_VAS],Tabel_VAS2023[Zaakcode],Tabel_prc_2023[[#This Row],[Zaakcode]],Tabel_VAS2023[Adviesofprocedure],"prc",Tabel_VAS2023[code_punten_forfait],13)</f>
        <v>8</v>
      </c>
      <c r="I37" s="92">
        <f>SUMIFS(Tabel_VAS2023[aantal_VAS],Tabel_VAS2023[Zaakcode],Tabel_prc_2023[[#This Row],[Zaakcode]],Tabel_VAS2023[Adviesofprocedure],"prc",Tabel_VAS2023[code_punten_forfait],14)</f>
        <v>0</v>
      </c>
      <c r="J37" s="91">
        <f>SUMIFS(Tabel_VAS2023[aantal_VAS],Tabel_VAS2023[Zaakcode],Tabel_prc_2023[[#This Row],[Zaakcode]],Tabel_VAS2023[Adviesofprocedure],"prc",Tabel_VAS2023[code_punten_forfait],12)</f>
        <v>61</v>
      </c>
      <c r="K37" s="92">
        <f>SUMIFS(Tabel_VAS2023[aantal_VAS],Tabel_VAS2023[Zaakcode],Tabel_prc_2023[[#This Row],[Zaakcode]],Tabel_VAS2023[Adviesofprocedure],"prc",Tabel_VAS2023[code_punten_forfait],15)</f>
        <v>10</v>
      </c>
      <c r="L37" s="92">
        <f>SUMIFS(Tabel_VAS2023[aantal_VAS],Tabel_VAS2023[Zaakcode],Tabel_prc_2023[[#This Row],[Zaakcode]],Tabel_VAS2023[Adviesofprocedure],"prc",Tabel_VAS2023[code_punten_forfait],16)</f>
        <v>1</v>
      </c>
      <c r="M37" s="35">
        <f>IFERROR(INDEX(Tabel_forfaits[forfait vanaf 2022],MATCH(Tabel_prc_2023[[#This Row],[Zaakcode]],Tabel_forfaits[Zaakcode],0)), "n.v.t.")</f>
        <v>16</v>
      </c>
      <c r="N37" s="35">
        <f>IFERROR(INDEX(Tabel_forfaits[forfait VdM II voor berekening],MATCH(Tabel_prc_2023[[#This Row],[Zaakcode]],Tabel_forfaits[Zaakcode],0)), "n.v.t.")</f>
        <v>17</v>
      </c>
      <c r="O37" s="36"/>
      <c r="P3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88</v>
      </c>
      <c r="Q3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18</v>
      </c>
      <c r="R3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1.5</v>
      </c>
      <c r="S37" s="35">
        <f>IF(Tabel_prc_2023[[#This Row],[procedure - forfait VdM II]]="n.v.t.",0,  Tabel_prc_2023[[#This Row],[procedure - aantal 0 punten]] * (Tabel_prc_2023[[#This Row],[procedure - forfait VdM II]] - Tabel_prc_2023[[#This Row],[procedure - forfait VdM I]]))</f>
        <v>0</v>
      </c>
      <c r="T3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107</v>
      </c>
      <c r="U3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107.5</v>
      </c>
      <c r="V37" s="109">
        <f>Tabel_prc_2023[[#This Row],[procedure - totaal extra punten toev. VdM II t.o.v. huidig]] * tarief_huidig</f>
        <v>16460.991249999999</v>
      </c>
    </row>
    <row r="38" spans="1:22" x14ac:dyDescent="0.3">
      <c r="A38"/>
      <c r="B38" s="1" t="s">
        <v>36</v>
      </c>
      <c r="C38" s="34" t="s">
        <v>5</v>
      </c>
      <c r="D3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41</v>
      </c>
      <c r="E3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634</v>
      </c>
      <c r="F38" s="91">
        <f>SUMIFS(Tabel_VAS2023[aantal_VAS],Tabel_VAS2023[Zaakcode],Tabel_prc_2023[[#This Row],[Zaakcode]],Tabel_VAS2023[Adviesofprocedure],"prc",Tabel_VAS2023[code_punten_forfait],10)</f>
        <v>0</v>
      </c>
      <c r="G38" s="91">
        <f>SUMIFS(Tabel_VAS2023[aantal_VAS],Tabel_VAS2023[Zaakcode],Tabel_prc_2023[[#This Row],[Zaakcode]],Tabel_VAS2023[Adviesofprocedure],"prc",Tabel_VAS2023[code_punten_forfait],11)</f>
        <v>9</v>
      </c>
      <c r="H38" s="92">
        <f>SUMIFS(Tabel_VAS2023[aantal_VAS],Tabel_VAS2023[Zaakcode],Tabel_prc_2023[[#This Row],[Zaakcode]],Tabel_VAS2023[Adviesofprocedure],"prc",Tabel_VAS2023[code_punten_forfait],13)</f>
        <v>0</v>
      </c>
      <c r="I38" s="92">
        <f>SUMIFS(Tabel_VAS2023[aantal_VAS],Tabel_VAS2023[Zaakcode],Tabel_prc_2023[[#This Row],[Zaakcode]],Tabel_VAS2023[Adviesofprocedure],"prc",Tabel_VAS2023[code_punten_forfait],14)</f>
        <v>0</v>
      </c>
      <c r="J38" s="91">
        <f>SUMIFS(Tabel_VAS2023[aantal_VAS],Tabel_VAS2023[Zaakcode],Tabel_prc_2023[[#This Row],[Zaakcode]],Tabel_VAS2023[Adviesofprocedure],"prc",Tabel_VAS2023[code_punten_forfait],12)</f>
        <v>32</v>
      </c>
      <c r="K38" s="92">
        <f>SUMIFS(Tabel_VAS2023[aantal_VAS],Tabel_VAS2023[Zaakcode],Tabel_prc_2023[[#This Row],[Zaakcode]],Tabel_VAS2023[Adviesofprocedure],"prc",Tabel_VAS2023[code_punten_forfait],15)</f>
        <v>0</v>
      </c>
      <c r="L38" s="92">
        <f>SUMIFS(Tabel_VAS2023[aantal_VAS],Tabel_VAS2023[Zaakcode],Tabel_prc_2023[[#This Row],[Zaakcode]],Tabel_VAS2023[Adviesofprocedure],"prc",Tabel_VAS2023[code_punten_forfait],16)</f>
        <v>0</v>
      </c>
      <c r="M38" s="35">
        <f>IFERROR(INDEX(Tabel_forfaits[forfait vanaf 2022],MATCH(Tabel_prc_2023[[#This Row],[Zaakcode]],Tabel_forfaits[Zaakcode],0)), "n.v.t.")</f>
        <v>17</v>
      </c>
      <c r="N38" s="35">
        <f>IFERROR(INDEX(Tabel_forfaits[forfait VdM II voor berekening],MATCH(Tabel_prc_2023[[#This Row],[Zaakcode]],Tabel_forfaits[Zaakcode],0)), "n.v.t.")</f>
        <v>17</v>
      </c>
      <c r="O38" s="36"/>
      <c r="P3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8" s="35">
        <f>IF(Tabel_prc_2023[[#This Row],[procedure - forfait VdM II]]="n.v.t.",0,  Tabel_prc_2023[[#This Row],[procedure - aantal 0 punten]] * (Tabel_prc_2023[[#This Row],[procedure - forfait VdM II]] - Tabel_prc_2023[[#This Row],[procedure - forfait VdM I]]))</f>
        <v>0</v>
      </c>
      <c r="T3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41</v>
      </c>
      <c r="U3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8" s="109">
        <f>Tabel_prc_2023[[#This Row],[procedure - totaal extra punten toev. VdM II t.o.v. huidig]] * tarief_huidig</f>
        <v>0</v>
      </c>
    </row>
    <row r="39" spans="1:22" x14ac:dyDescent="0.3">
      <c r="A39"/>
      <c r="B39" s="1" t="s">
        <v>37</v>
      </c>
      <c r="C39" s="34" t="s">
        <v>5</v>
      </c>
      <c r="D3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3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39" s="91">
        <f>SUMIFS(Tabel_VAS2023[aantal_VAS],Tabel_VAS2023[Zaakcode],Tabel_prc_2023[[#This Row],[Zaakcode]],Tabel_VAS2023[Adviesofprocedure],"prc",Tabel_VAS2023[code_punten_forfait],10)</f>
        <v>0</v>
      </c>
      <c r="G39" s="91">
        <f>SUMIFS(Tabel_VAS2023[aantal_VAS],Tabel_VAS2023[Zaakcode],Tabel_prc_2023[[#This Row],[Zaakcode]],Tabel_VAS2023[Adviesofprocedure],"prc",Tabel_VAS2023[code_punten_forfait],11)</f>
        <v>0</v>
      </c>
      <c r="H39" s="92">
        <f>SUMIFS(Tabel_VAS2023[aantal_VAS],Tabel_VAS2023[Zaakcode],Tabel_prc_2023[[#This Row],[Zaakcode]],Tabel_VAS2023[Adviesofprocedure],"prc",Tabel_VAS2023[code_punten_forfait],13)</f>
        <v>0</v>
      </c>
      <c r="I39" s="92">
        <f>SUMIFS(Tabel_VAS2023[aantal_VAS],Tabel_VAS2023[Zaakcode],Tabel_prc_2023[[#This Row],[Zaakcode]],Tabel_VAS2023[Adviesofprocedure],"prc",Tabel_VAS2023[code_punten_forfait],14)</f>
        <v>0</v>
      </c>
      <c r="J39" s="91">
        <f>SUMIFS(Tabel_VAS2023[aantal_VAS],Tabel_VAS2023[Zaakcode],Tabel_prc_2023[[#This Row],[Zaakcode]],Tabel_VAS2023[Adviesofprocedure],"prc",Tabel_VAS2023[code_punten_forfait],12)</f>
        <v>0</v>
      </c>
      <c r="K39" s="92">
        <f>SUMIFS(Tabel_VAS2023[aantal_VAS],Tabel_VAS2023[Zaakcode],Tabel_prc_2023[[#This Row],[Zaakcode]],Tabel_VAS2023[Adviesofprocedure],"prc",Tabel_VAS2023[code_punten_forfait],15)</f>
        <v>0</v>
      </c>
      <c r="L39" s="92">
        <f>SUMIFS(Tabel_VAS2023[aantal_VAS],Tabel_VAS2023[Zaakcode],Tabel_prc_2023[[#This Row],[Zaakcode]],Tabel_VAS2023[Adviesofprocedure],"prc",Tabel_VAS2023[code_punten_forfait],16)</f>
        <v>0</v>
      </c>
      <c r="M39" s="35" t="str">
        <f>IFERROR(INDEX(Tabel_forfaits[forfait vanaf 2022],MATCH(Tabel_prc_2023[[#This Row],[Zaakcode]],Tabel_forfaits[Zaakcode],0)), "n.v.t.")</f>
        <v>n.v.t.</v>
      </c>
      <c r="N39" s="35" t="str">
        <f>IFERROR(INDEX(Tabel_forfaits[forfait VdM II voor berekening],MATCH(Tabel_prc_2023[[#This Row],[Zaakcode]],Tabel_forfaits[Zaakcode],0)), "n.v.t.")</f>
        <v>n.v.t.</v>
      </c>
      <c r="O39" s="36"/>
      <c r="P3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3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3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39" s="35">
        <f>IF(Tabel_prc_2023[[#This Row],[procedure - forfait VdM II]]="n.v.t.",0,  Tabel_prc_2023[[#This Row],[procedure - aantal 0 punten]] * (Tabel_prc_2023[[#This Row],[procedure - forfait VdM II]] - Tabel_prc_2023[[#This Row],[procedure - forfait VdM I]]))</f>
        <v>0</v>
      </c>
      <c r="T3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3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39" s="109">
        <f>Tabel_prc_2023[[#This Row],[procedure - totaal extra punten toev. VdM II t.o.v. huidig]] * tarief_huidig</f>
        <v>0</v>
      </c>
    </row>
    <row r="40" spans="1:22" x14ac:dyDescent="0.3">
      <c r="A40"/>
      <c r="B40" s="1" t="s">
        <v>417</v>
      </c>
      <c r="C40" s="34" t="s">
        <v>5</v>
      </c>
      <c r="D4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0" s="91">
        <f>SUMIFS(Tabel_VAS2023[aantal_VAS],Tabel_VAS2023[Zaakcode],Tabel_prc_2023[[#This Row],[Zaakcode]],Tabel_VAS2023[Adviesofprocedure],"prc",Tabel_VAS2023[code_punten_forfait],10)</f>
        <v>0</v>
      </c>
      <c r="G40" s="91">
        <f>SUMIFS(Tabel_VAS2023[aantal_VAS],Tabel_VAS2023[Zaakcode],Tabel_prc_2023[[#This Row],[Zaakcode]],Tabel_VAS2023[Adviesofprocedure],"prc",Tabel_VAS2023[code_punten_forfait],11)</f>
        <v>0</v>
      </c>
      <c r="H40" s="92">
        <f>SUMIFS(Tabel_VAS2023[aantal_VAS],Tabel_VAS2023[Zaakcode],Tabel_prc_2023[[#This Row],[Zaakcode]],Tabel_VAS2023[Adviesofprocedure],"prc",Tabel_VAS2023[code_punten_forfait],13)</f>
        <v>0</v>
      </c>
      <c r="I40" s="92">
        <f>SUMIFS(Tabel_VAS2023[aantal_VAS],Tabel_VAS2023[Zaakcode],Tabel_prc_2023[[#This Row],[Zaakcode]],Tabel_VAS2023[Adviesofprocedure],"prc",Tabel_VAS2023[code_punten_forfait],14)</f>
        <v>0</v>
      </c>
      <c r="J40" s="91">
        <f>SUMIFS(Tabel_VAS2023[aantal_VAS],Tabel_VAS2023[Zaakcode],Tabel_prc_2023[[#This Row],[Zaakcode]],Tabel_VAS2023[Adviesofprocedure],"prc",Tabel_VAS2023[code_punten_forfait],12)</f>
        <v>0</v>
      </c>
      <c r="K40" s="92">
        <f>SUMIFS(Tabel_VAS2023[aantal_VAS],Tabel_VAS2023[Zaakcode],Tabel_prc_2023[[#This Row],[Zaakcode]],Tabel_VAS2023[Adviesofprocedure],"prc",Tabel_VAS2023[code_punten_forfait],15)</f>
        <v>0</v>
      </c>
      <c r="L40" s="92">
        <f>SUMIFS(Tabel_VAS2023[aantal_VAS],Tabel_VAS2023[Zaakcode],Tabel_prc_2023[[#This Row],[Zaakcode]],Tabel_VAS2023[Adviesofprocedure],"prc",Tabel_VAS2023[code_punten_forfait],16)</f>
        <v>0</v>
      </c>
      <c r="M40" s="35" t="str">
        <f>IFERROR(INDEX(Tabel_forfaits[forfait vanaf 2022],MATCH(Tabel_prc_2023[[#This Row],[Zaakcode]],Tabel_forfaits[Zaakcode],0)), "n.v.t.")</f>
        <v>n.v.t.</v>
      </c>
      <c r="N40" s="35" t="str">
        <f>IFERROR(INDEX(Tabel_forfaits[forfait VdM II voor berekening],MATCH(Tabel_prc_2023[[#This Row],[Zaakcode]],Tabel_forfaits[Zaakcode],0)), "n.v.t.")</f>
        <v>n.v.t.</v>
      </c>
      <c r="O40" s="36"/>
      <c r="P4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0" s="35">
        <f>IF(Tabel_prc_2023[[#This Row],[procedure - forfait VdM II]]="n.v.t.",0,  Tabel_prc_2023[[#This Row],[procedure - aantal 0 punten]] * (Tabel_prc_2023[[#This Row],[procedure - forfait VdM II]] - Tabel_prc_2023[[#This Row],[procedure - forfait VdM I]]))</f>
        <v>0</v>
      </c>
      <c r="T4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0" s="109">
        <f>Tabel_prc_2023[[#This Row],[procedure - totaal extra punten toev. VdM II t.o.v. huidig]] * tarief_huidig</f>
        <v>0</v>
      </c>
    </row>
    <row r="41" spans="1:22" x14ac:dyDescent="0.3">
      <c r="A41"/>
      <c r="B41" s="1" t="s">
        <v>38</v>
      </c>
      <c r="C41" s="34" t="s">
        <v>5</v>
      </c>
      <c r="D4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1" s="91">
        <f>SUMIFS(Tabel_VAS2023[aantal_VAS],Tabel_VAS2023[Zaakcode],Tabel_prc_2023[[#This Row],[Zaakcode]],Tabel_VAS2023[Adviesofprocedure],"prc",Tabel_VAS2023[code_punten_forfait],10)</f>
        <v>0</v>
      </c>
      <c r="G41" s="91">
        <f>SUMIFS(Tabel_VAS2023[aantal_VAS],Tabel_VAS2023[Zaakcode],Tabel_prc_2023[[#This Row],[Zaakcode]],Tabel_VAS2023[Adviesofprocedure],"prc",Tabel_VAS2023[code_punten_forfait],11)</f>
        <v>0</v>
      </c>
      <c r="H41" s="92">
        <f>SUMIFS(Tabel_VAS2023[aantal_VAS],Tabel_VAS2023[Zaakcode],Tabel_prc_2023[[#This Row],[Zaakcode]],Tabel_VAS2023[Adviesofprocedure],"prc",Tabel_VAS2023[code_punten_forfait],13)</f>
        <v>0</v>
      </c>
      <c r="I41" s="92">
        <f>SUMIFS(Tabel_VAS2023[aantal_VAS],Tabel_VAS2023[Zaakcode],Tabel_prc_2023[[#This Row],[Zaakcode]],Tabel_VAS2023[Adviesofprocedure],"prc",Tabel_VAS2023[code_punten_forfait],14)</f>
        <v>0</v>
      </c>
      <c r="J41" s="91">
        <f>SUMIFS(Tabel_VAS2023[aantal_VAS],Tabel_VAS2023[Zaakcode],Tabel_prc_2023[[#This Row],[Zaakcode]],Tabel_VAS2023[Adviesofprocedure],"prc",Tabel_VAS2023[code_punten_forfait],12)</f>
        <v>0</v>
      </c>
      <c r="K41" s="92">
        <f>SUMIFS(Tabel_VAS2023[aantal_VAS],Tabel_VAS2023[Zaakcode],Tabel_prc_2023[[#This Row],[Zaakcode]],Tabel_VAS2023[Adviesofprocedure],"prc",Tabel_VAS2023[code_punten_forfait],15)</f>
        <v>0</v>
      </c>
      <c r="L41" s="92">
        <f>SUMIFS(Tabel_VAS2023[aantal_VAS],Tabel_VAS2023[Zaakcode],Tabel_prc_2023[[#This Row],[Zaakcode]],Tabel_VAS2023[Adviesofprocedure],"prc",Tabel_VAS2023[code_punten_forfait],16)</f>
        <v>0</v>
      </c>
      <c r="M41" s="35" t="str">
        <f>IFERROR(INDEX(Tabel_forfaits[forfait vanaf 2022],MATCH(Tabel_prc_2023[[#This Row],[Zaakcode]],Tabel_forfaits[Zaakcode],0)), "n.v.t.")</f>
        <v>n.v.t.</v>
      </c>
      <c r="N41" s="35" t="str">
        <f>IFERROR(INDEX(Tabel_forfaits[forfait VdM II voor berekening],MATCH(Tabel_prc_2023[[#This Row],[Zaakcode]],Tabel_forfaits[Zaakcode],0)), "n.v.t.")</f>
        <v>n.v.t.</v>
      </c>
      <c r="O41" s="36"/>
      <c r="P4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1" s="35">
        <f>IF(Tabel_prc_2023[[#This Row],[procedure - forfait VdM II]]="n.v.t.",0,  Tabel_prc_2023[[#This Row],[procedure - aantal 0 punten]] * (Tabel_prc_2023[[#This Row],[procedure - forfait VdM II]] - Tabel_prc_2023[[#This Row],[procedure - forfait VdM I]]))</f>
        <v>0</v>
      </c>
      <c r="T4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1" s="109">
        <f>Tabel_prc_2023[[#This Row],[procedure - totaal extra punten toev. VdM II t.o.v. huidig]] * tarief_huidig</f>
        <v>0</v>
      </c>
    </row>
    <row r="42" spans="1:22" x14ac:dyDescent="0.3">
      <c r="A42"/>
      <c r="B42" s="1" t="s">
        <v>418</v>
      </c>
      <c r="C42" s="34" t="s">
        <v>5</v>
      </c>
      <c r="D4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2" s="91">
        <f>SUMIFS(Tabel_VAS2023[aantal_VAS],Tabel_VAS2023[Zaakcode],Tabel_prc_2023[[#This Row],[Zaakcode]],Tabel_VAS2023[Adviesofprocedure],"prc",Tabel_VAS2023[code_punten_forfait],10)</f>
        <v>0</v>
      </c>
      <c r="G42" s="91">
        <f>SUMIFS(Tabel_VAS2023[aantal_VAS],Tabel_VAS2023[Zaakcode],Tabel_prc_2023[[#This Row],[Zaakcode]],Tabel_VAS2023[Adviesofprocedure],"prc",Tabel_VAS2023[code_punten_forfait],11)</f>
        <v>0</v>
      </c>
      <c r="H42" s="92">
        <f>SUMIFS(Tabel_VAS2023[aantal_VAS],Tabel_VAS2023[Zaakcode],Tabel_prc_2023[[#This Row],[Zaakcode]],Tabel_VAS2023[Adviesofprocedure],"prc",Tabel_VAS2023[code_punten_forfait],13)</f>
        <v>0</v>
      </c>
      <c r="I42" s="92">
        <f>SUMIFS(Tabel_VAS2023[aantal_VAS],Tabel_VAS2023[Zaakcode],Tabel_prc_2023[[#This Row],[Zaakcode]],Tabel_VAS2023[Adviesofprocedure],"prc",Tabel_VAS2023[code_punten_forfait],14)</f>
        <v>0</v>
      </c>
      <c r="J42" s="91">
        <f>SUMIFS(Tabel_VAS2023[aantal_VAS],Tabel_VAS2023[Zaakcode],Tabel_prc_2023[[#This Row],[Zaakcode]],Tabel_VAS2023[Adviesofprocedure],"prc",Tabel_VAS2023[code_punten_forfait],12)</f>
        <v>0</v>
      </c>
      <c r="K42" s="92">
        <f>SUMIFS(Tabel_VAS2023[aantal_VAS],Tabel_VAS2023[Zaakcode],Tabel_prc_2023[[#This Row],[Zaakcode]],Tabel_VAS2023[Adviesofprocedure],"prc",Tabel_VAS2023[code_punten_forfait],15)</f>
        <v>0</v>
      </c>
      <c r="L42" s="92">
        <f>SUMIFS(Tabel_VAS2023[aantal_VAS],Tabel_VAS2023[Zaakcode],Tabel_prc_2023[[#This Row],[Zaakcode]],Tabel_VAS2023[Adviesofprocedure],"prc",Tabel_VAS2023[code_punten_forfait],16)</f>
        <v>0</v>
      </c>
      <c r="M42" s="35" t="str">
        <f>IFERROR(INDEX(Tabel_forfaits[forfait vanaf 2022],MATCH(Tabel_prc_2023[[#This Row],[Zaakcode]],Tabel_forfaits[Zaakcode],0)), "n.v.t.")</f>
        <v>n.v.t.</v>
      </c>
      <c r="N42" s="35" t="str">
        <f>IFERROR(INDEX(Tabel_forfaits[forfait VdM II voor berekening],MATCH(Tabel_prc_2023[[#This Row],[Zaakcode]],Tabel_forfaits[Zaakcode],0)), "n.v.t.")</f>
        <v>n.v.t.</v>
      </c>
      <c r="O42" s="36"/>
      <c r="P4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2" s="35">
        <f>IF(Tabel_prc_2023[[#This Row],[procedure - forfait VdM II]]="n.v.t.",0,  Tabel_prc_2023[[#This Row],[procedure - aantal 0 punten]] * (Tabel_prc_2023[[#This Row],[procedure - forfait VdM II]] - Tabel_prc_2023[[#This Row],[procedure - forfait VdM I]]))</f>
        <v>0</v>
      </c>
      <c r="T4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2" s="109">
        <f>Tabel_prc_2023[[#This Row],[procedure - totaal extra punten toev. VdM II t.o.v. huidig]] * tarief_huidig</f>
        <v>0</v>
      </c>
    </row>
    <row r="43" spans="1:22" x14ac:dyDescent="0.3">
      <c r="A43"/>
      <c r="B43" s="1" t="s">
        <v>419</v>
      </c>
      <c r="C43" s="34" t="s">
        <v>5</v>
      </c>
      <c r="D4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3" s="91">
        <f>SUMIFS(Tabel_VAS2023[aantal_VAS],Tabel_VAS2023[Zaakcode],Tabel_prc_2023[[#This Row],[Zaakcode]],Tabel_VAS2023[Adviesofprocedure],"prc",Tabel_VAS2023[code_punten_forfait],10)</f>
        <v>0</v>
      </c>
      <c r="G43" s="91">
        <f>SUMIFS(Tabel_VAS2023[aantal_VAS],Tabel_VAS2023[Zaakcode],Tabel_prc_2023[[#This Row],[Zaakcode]],Tabel_VAS2023[Adviesofprocedure],"prc",Tabel_VAS2023[code_punten_forfait],11)</f>
        <v>0</v>
      </c>
      <c r="H43" s="92">
        <f>SUMIFS(Tabel_VAS2023[aantal_VAS],Tabel_VAS2023[Zaakcode],Tabel_prc_2023[[#This Row],[Zaakcode]],Tabel_VAS2023[Adviesofprocedure],"prc",Tabel_VAS2023[code_punten_forfait],13)</f>
        <v>0</v>
      </c>
      <c r="I43" s="92">
        <f>SUMIFS(Tabel_VAS2023[aantal_VAS],Tabel_VAS2023[Zaakcode],Tabel_prc_2023[[#This Row],[Zaakcode]],Tabel_VAS2023[Adviesofprocedure],"prc",Tabel_VAS2023[code_punten_forfait],14)</f>
        <v>0</v>
      </c>
      <c r="J43" s="91">
        <f>SUMIFS(Tabel_VAS2023[aantal_VAS],Tabel_VAS2023[Zaakcode],Tabel_prc_2023[[#This Row],[Zaakcode]],Tabel_VAS2023[Adviesofprocedure],"prc",Tabel_VAS2023[code_punten_forfait],12)</f>
        <v>0</v>
      </c>
      <c r="K43" s="92">
        <f>SUMIFS(Tabel_VAS2023[aantal_VAS],Tabel_VAS2023[Zaakcode],Tabel_prc_2023[[#This Row],[Zaakcode]],Tabel_VAS2023[Adviesofprocedure],"prc",Tabel_VAS2023[code_punten_forfait],15)</f>
        <v>0</v>
      </c>
      <c r="L43" s="92">
        <f>SUMIFS(Tabel_VAS2023[aantal_VAS],Tabel_VAS2023[Zaakcode],Tabel_prc_2023[[#This Row],[Zaakcode]],Tabel_VAS2023[Adviesofprocedure],"prc",Tabel_VAS2023[code_punten_forfait],16)</f>
        <v>0</v>
      </c>
      <c r="M43" s="35" t="str">
        <f>IFERROR(INDEX(Tabel_forfaits[forfait vanaf 2022],MATCH(Tabel_prc_2023[[#This Row],[Zaakcode]],Tabel_forfaits[Zaakcode],0)), "n.v.t.")</f>
        <v>n.v.t.</v>
      </c>
      <c r="N43" s="35" t="str">
        <f>IFERROR(INDEX(Tabel_forfaits[forfait VdM II voor berekening],MATCH(Tabel_prc_2023[[#This Row],[Zaakcode]],Tabel_forfaits[Zaakcode],0)), "n.v.t.")</f>
        <v>n.v.t.</v>
      </c>
      <c r="O43" s="36"/>
      <c r="P4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3" s="35">
        <f>IF(Tabel_prc_2023[[#This Row],[procedure - forfait VdM II]]="n.v.t.",0,  Tabel_prc_2023[[#This Row],[procedure - aantal 0 punten]] * (Tabel_prc_2023[[#This Row],[procedure - forfait VdM II]] - Tabel_prc_2023[[#This Row],[procedure - forfait VdM I]]))</f>
        <v>0</v>
      </c>
      <c r="T4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3" s="109">
        <f>Tabel_prc_2023[[#This Row],[procedure - totaal extra punten toev. VdM II t.o.v. huidig]] * tarief_huidig</f>
        <v>0</v>
      </c>
    </row>
    <row r="44" spans="1:22" x14ac:dyDescent="0.3">
      <c r="A44"/>
      <c r="B44" s="1" t="s">
        <v>39</v>
      </c>
      <c r="C44" s="34" t="s">
        <v>5</v>
      </c>
      <c r="D4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4" s="91">
        <f>SUMIFS(Tabel_VAS2023[aantal_VAS],Tabel_VAS2023[Zaakcode],Tabel_prc_2023[[#This Row],[Zaakcode]],Tabel_VAS2023[Adviesofprocedure],"prc",Tabel_VAS2023[code_punten_forfait],10)</f>
        <v>0</v>
      </c>
      <c r="G44" s="91">
        <f>SUMIFS(Tabel_VAS2023[aantal_VAS],Tabel_VAS2023[Zaakcode],Tabel_prc_2023[[#This Row],[Zaakcode]],Tabel_VAS2023[Adviesofprocedure],"prc",Tabel_VAS2023[code_punten_forfait],11)</f>
        <v>0</v>
      </c>
      <c r="H44" s="92">
        <f>SUMIFS(Tabel_VAS2023[aantal_VAS],Tabel_VAS2023[Zaakcode],Tabel_prc_2023[[#This Row],[Zaakcode]],Tabel_VAS2023[Adviesofprocedure],"prc",Tabel_VAS2023[code_punten_forfait],13)</f>
        <v>0</v>
      </c>
      <c r="I44" s="92">
        <f>SUMIFS(Tabel_VAS2023[aantal_VAS],Tabel_VAS2023[Zaakcode],Tabel_prc_2023[[#This Row],[Zaakcode]],Tabel_VAS2023[Adviesofprocedure],"prc",Tabel_VAS2023[code_punten_forfait],14)</f>
        <v>0</v>
      </c>
      <c r="J44" s="91">
        <f>SUMIFS(Tabel_VAS2023[aantal_VAS],Tabel_VAS2023[Zaakcode],Tabel_prc_2023[[#This Row],[Zaakcode]],Tabel_VAS2023[Adviesofprocedure],"prc",Tabel_VAS2023[code_punten_forfait],12)</f>
        <v>0</v>
      </c>
      <c r="K44" s="92">
        <f>SUMIFS(Tabel_VAS2023[aantal_VAS],Tabel_VAS2023[Zaakcode],Tabel_prc_2023[[#This Row],[Zaakcode]],Tabel_VAS2023[Adviesofprocedure],"prc",Tabel_VAS2023[code_punten_forfait],15)</f>
        <v>0</v>
      </c>
      <c r="L44" s="92">
        <f>SUMIFS(Tabel_VAS2023[aantal_VAS],Tabel_VAS2023[Zaakcode],Tabel_prc_2023[[#This Row],[Zaakcode]],Tabel_VAS2023[Adviesofprocedure],"prc",Tabel_VAS2023[code_punten_forfait],16)</f>
        <v>0</v>
      </c>
      <c r="M44" s="35" t="str">
        <f>IFERROR(INDEX(Tabel_forfaits[forfait vanaf 2022],MATCH(Tabel_prc_2023[[#This Row],[Zaakcode]],Tabel_forfaits[Zaakcode],0)), "n.v.t.")</f>
        <v>n.v.t.</v>
      </c>
      <c r="N44" s="35" t="str">
        <f>IFERROR(INDEX(Tabel_forfaits[forfait VdM II voor berekening],MATCH(Tabel_prc_2023[[#This Row],[Zaakcode]],Tabel_forfaits[Zaakcode],0)), "n.v.t.")</f>
        <v>n.v.t.</v>
      </c>
      <c r="O44" s="36"/>
      <c r="P4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4" s="35">
        <f>IF(Tabel_prc_2023[[#This Row],[procedure - forfait VdM II]]="n.v.t.",0,  Tabel_prc_2023[[#This Row],[procedure - aantal 0 punten]] * (Tabel_prc_2023[[#This Row],[procedure - forfait VdM II]] - Tabel_prc_2023[[#This Row],[procedure - forfait VdM I]]))</f>
        <v>0</v>
      </c>
      <c r="T4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4" s="109">
        <f>Tabel_prc_2023[[#This Row],[procedure - totaal extra punten toev. VdM II t.o.v. huidig]] * tarief_huidig</f>
        <v>0</v>
      </c>
    </row>
    <row r="45" spans="1:22" x14ac:dyDescent="0.3">
      <c r="A45"/>
      <c r="B45" s="1" t="s">
        <v>40</v>
      </c>
      <c r="C45" s="34" t="s">
        <v>5</v>
      </c>
      <c r="D4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5" s="91">
        <f>SUMIFS(Tabel_VAS2023[aantal_VAS],Tabel_VAS2023[Zaakcode],Tabel_prc_2023[[#This Row],[Zaakcode]],Tabel_VAS2023[Adviesofprocedure],"prc",Tabel_VAS2023[code_punten_forfait],10)</f>
        <v>0</v>
      </c>
      <c r="G45" s="91">
        <f>SUMIFS(Tabel_VAS2023[aantal_VAS],Tabel_VAS2023[Zaakcode],Tabel_prc_2023[[#This Row],[Zaakcode]],Tabel_VAS2023[Adviesofprocedure],"prc",Tabel_VAS2023[code_punten_forfait],11)</f>
        <v>0</v>
      </c>
      <c r="H45" s="92">
        <f>SUMIFS(Tabel_VAS2023[aantal_VAS],Tabel_VAS2023[Zaakcode],Tabel_prc_2023[[#This Row],[Zaakcode]],Tabel_VAS2023[Adviesofprocedure],"prc",Tabel_VAS2023[code_punten_forfait],13)</f>
        <v>0</v>
      </c>
      <c r="I45" s="92">
        <f>SUMIFS(Tabel_VAS2023[aantal_VAS],Tabel_VAS2023[Zaakcode],Tabel_prc_2023[[#This Row],[Zaakcode]],Tabel_VAS2023[Adviesofprocedure],"prc",Tabel_VAS2023[code_punten_forfait],14)</f>
        <v>0</v>
      </c>
      <c r="J45" s="91">
        <f>SUMIFS(Tabel_VAS2023[aantal_VAS],Tabel_VAS2023[Zaakcode],Tabel_prc_2023[[#This Row],[Zaakcode]],Tabel_VAS2023[Adviesofprocedure],"prc",Tabel_VAS2023[code_punten_forfait],12)</f>
        <v>0</v>
      </c>
      <c r="K45" s="92">
        <f>SUMIFS(Tabel_VAS2023[aantal_VAS],Tabel_VAS2023[Zaakcode],Tabel_prc_2023[[#This Row],[Zaakcode]],Tabel_VAS2023[Adviesofprocedure],"prc",Tabel_VAS2023[code_punten_forfait],15)</f>
        <v>0</v>
      </c>
      <c r="L45" s="92">
        <f>SUMIFS(Tabel_VAS2023[aantal_VAS],Tabel_VAS2023[Zaakcode],Tabel_prc_2023[[#This Row],[Zaakcode]],Tabel_VAS2023[Adviesofprocedure],"prc",Tabel_VAS2023[code_punten_forfait],16)</f>
        <v>0</v>
      </c>
      <c r="M45" s="35" t="str">
        <f>IFERROR(INDEX(Tabel_forfaits[forfait vanaf 2022],MATCH(Tabel_prc_2023[[#This Row],[Zaakcode]],Tabel_forfaits[Zaakcode],0)), "n.v.t.")</f>
        <v>n.v.t.</v>
      </c>
      <c r="N45" s="35" t="str">
        <f>IFERROR(INDEX(Tabel_forfaits[forfait VdM II voor berekening],MATCH(Tabel_prc_2023[[#This Row],[Zaakcode]],Tabel_forfaits[Zaakcode],0)), "n.v.t.")</f>
        <v>n.v.t.</v>
      </c>
      <c r="O45" s="36"/>
      <c r="P4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5" s="35">
        <f>IF(Tabel_prc_2023[[#This Row],[procedure - forfait VdM II]]="n.v.t.",0,  Tabel_prc_2023[[#This Row],[procedure - aantal 0 punten]] * (Tabel_prc_2023[[#This Row],[procedure - forfait VdM II]] - Tabel_prc_2023[[#This Row],[procedure - forfait VdM I]]))</f>
        <v>0</v>
      </c>
      <c r="T4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5" s="109">
        <f>Tabel_prc_2023[[#This Row],[procedure - totaal extra punten toev. VdM II t.o.v. huidig]] * tarief_huidig</f>
        <v>0</v>
      </c>
    </row>
    <row r="46" spans="1:22" x14ac:dyDescent="0.3">
      <c r="A46"/>
      <c r="B46" s="1" t="s">
        <v>420</v>
      </c>
      <c r="C46" s="34" t="s">
        <v>5</v>
      </c>
      <c r="D4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6" s="91">
        <f>SUMIFS(Tabel_VAS2023[aantal_VAS],Tabel_VAS2023[Zaakcode],Tabel_prc_2023[[#This Row],[Zaakcode]],Tabel_VAS2023[Adviesofprocedure],"prc",Tabel_VAS2023[code_punten_forfait],10)</f>
        <v>0</v>
      </c>
      <c r="G46" s="91">
        <f>SUMIFS(Tabel_VAS2023[aantal_VAS],Tabel_VAS2023[Zaakcode],Tabel_prc_2023[[#This Row],[Zaakcode]],Tabel_VAS2023[Adviesofprocedure],"prc",Tabel_VAS2023[code_punten_forfait],11)</f>
        <v>0</v>
      </c>
      <c r="H46" s="92">
        <f>SUMIFS(Tabel_VAS2023[aantal_VAS],Tabel_VAS2023[Zaakcode],Tabel_prc_2023[[#This Row],[Zaakcode]],Tabel_VAS2023[Adviesofprocedure],"prc",Tabel_VAS2023[code_punten_forfait],13)</f>
        <v>0</v>
      </c>
      <c r="I46" s="92">
        <f>SUMIFS(Tabel_VAS2023[aantal_VAS],Tabel_VAS2023[Zaakcode],Tabel_prc_2023[[#This Row],[Zaakcode]],Tabel_VAS2023[Adviesofprocedure],"prc",Tabel_VAS2023[code_punten_forfait],14)</f>
        <v>0</v>
      </c>
      <c r="J46" s="91">
        <f>SUMIFS(Tabel_VAS2023[aantal_VAS],Tabel_VAS2023[Zaakcode],Tabel_prc_2023[[#This Row],[Zaakcode]],Tabel_VAS2023[Adviesofprocedure],"prc",Tabel_VAS2023[code_punten_forfait],12)</f>
        <v>0</v>
      </c>
      <c r="K46" s="92">
        <f>SUMIFS(Tabel_VAS2023[aantal_VAS],Tabel_VAS2023[Zaakcode],Tabel_prc_2023[[#This Row],[Zaakcode]],Tabel_VAS2023[Adviesofprocedure],"prc",Tabel_VAS2023[code_punten_forfait],15)</f>
        <v>0</v>
      </c>
      <c r="L46" s="92">
        <f>SUMIFS(Tabel_VAS2023[aantal_VAS],Tabel_VAS2023[Zaakcode],Tabel_prc_2023[[#This Row],[Zaakcode]],Tabel_VAS2023[Adviesofprocedure],"prc",Tabel_VAS2023[code_punten_forfait],16)</f>
        <v>0</v>
      </c>
      <c r="M46" s="35" t="str">
        <f>IFERROR(INDEX(Tabel_forfaits[forfait vanaf 2022],MATCH(Tabel_prc_2023[[#This Row],[Zaakcode]],Tabel_forfaits[Zaakcode],0)), "n.v.t.")</f>
        <v>n.v.t.</v>
      </c>
      <c r="N46" s="35" t="str">
        <f>IFERROR(INDEX(Tabel_forfaits[forfait VdM II voor berekening],MATCH(Tabel_prc_2023[[#This Row],[Zaakcode]],Tabel_forfaits[Zaakcode],0)), "n.v.t.")</f>
        <v>n.v.t.</v>
      </c>
      <c r="O46" s="36"/>
      <c r="P4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6" s="35">
        <f>IF(Tabel_prc_2023[[#This Row],[procedure - forfait VdM II]]="n.v.t.",0,  Tabel_prc_2023[[#This Row],[procedure - aantal 0 punten]] * (Tabel_prc_2023[[#This Row],[procedure - forfait VdM II]] - Tabel_prc_2023[[#This Row],[procedure - forfait VdM I]]))</f>
        <v>0</v>
      </c>
      <c r="T4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6" s="109">
        <f>Tabel_prc_2023[[#This Row],[procedure - totaal extra punten toev. VdM II t.o.v. huidig]] * tarief_huidig</f>
        <v>0</v>
      </c>
    </row>
    <row r="47" spans="1:22" x14ac:dyDescent="0.3">
      <c r="A47"/>
      <c r="B47" s="1" t="s">
        <v>41</v>
      </c>
      <c r="C47" s="34" t="s">
        <v>5</v>
      </c>
      <c r="D4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7" s="91">
        <f>SUMIFS(Tabel_VAS2023[aantal_VAS],Tabel_VAS2023[Zaakcode],Tabel_prc_2023[[#This Row],[Zaakcode]],Tabel_VAS2023[Adviesofprocedure],"prc",Tabel_VAS2023[code_punten_forfait],10)</f>
        <v>0</v>
      </c>
      <c r="G47" s="91">
        <f>SUMIFS(Tabel_VAS2023[aantal_VAS],Tabel_VAS2023[Zaakcode],Tabel_prc_2023[[#This Row],[Zaakcode]],Tabel_VAS2023[Adviesofprocedure],"prc",Tabel_VAS2023[code_punten_forfait],11)</f>
        <v>0</v>
      </c>
      <c r="H47" s="92">
        <f>SUMIFS(Tabel_VAS2023[aantal_VAS],Tabel_VAS2023[Zaakcode],Tabel_prc_2023[[#This Row],[Zaakcode]],Tabel_VAS2023[Adviesofprocedure],"prc",Tabel_VAS2023[code_punten_forfait],13)</f>
        <v>0</v>
      </c>
      <c r="I47" s="92">
        <f>SUMIFS(Tabel_VAS2023[aantal_VAS],Tabel_VAS2023[Zaakcode],Tabel_prc_2023[[#This Row],[Zaakcode]],Tabel_VAS2023[Adviesofprocedure],"prc",Tabel_VAS2023[code_punten_forfait],14)</f>
        <v>0</v>
      </c>
      <c r="J47" s="91">
        <f>SUMIFS(Tabel_VAS2023[aantal_VAS],Tabel_VAS2023[Zaakcode],Tabel_prc_2023[[#This Row],[Zaakcode]],Tabel_VAS2023[Adviesofprocedure],"prc",Tabel_VAS2023[code_punten_forfait],12)</f>
        <v>0</v>
      </c>
      <c r="K47" s="92">
        <f>SUMIFS(Tabel_VAS2023[aantal_VAS],Tabel_VAS2023[Zaakcode],Tabel_prc_2023[[#This Row],[Zaakcode]],Tabel_VAS2023[Adviesofprocedure],"prc",Tabel_VAS2023[code_punten_forfait],15)</f>
        <v>0</v>
      </c>
      <c r="L47" s="92">
        <f>SUMIFS(Tabel_VAS2023[aantal_VAS],Tabel_VAS2023[Zaakcode],Tabel_prc_2023[[#This Row],[Zaakcode]],Tabel_VAS2023[Adviesofprocedure],"prc",Tabel_VAS2023[code_punten_forfait],16)</f>
        <v>0</v>
      </c>
      <c r="M47" s="35" t="str">
        <f>IFERROR(INDEX(Tabel_forfaits[forfait vanaf 2022],MATCH(Tabel_prc_2023[[#This Row],[Zaakcode]],Tabel_forfaits[Zaakcode],0)), "n.v.t.")</f>
        <v>n.v.t.</v>
      </c>
      <c r="N47" s="35" t="str">
        <f>IFERROR(INDEX(Tabel_forfaits[forfait VdM II voor berekening],MATCH(Tabel_prc_2023[[#This Row],[Zaakcode]],Tabel_forfaits[Zaakcode],0)), "n.v.t.")</f>
        <v>n.v.t.</v>
      </c>
      <c r="O47" s="36"/>
      <c r="P4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7" s="35">
        <f>IF(Tabel_prc_2023[[#This Row],[procedure - forfait VdM II]]="n.v.t.",0,  Tabel_prc_2023[[#This Row],[procedure - aantal 0 punten]] * (Tabel_prc_2023[[#This Row],[procedure - forfait VdM II]] - Tabel_prc_2023[[#This Row],[procedure - forfait VdM I]]))</f>
        <v>0</v>
      </c>
      <c r="T4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7" s="109">
        <f>Tabel_prc_2023[[#This Row],[procedure - totaal extra punten toev. VdM II t.o.v. huidig]] * tarief_huidig</f>
        <v>0</v>
      </c>
    </row>
    <row r="48" spans="1:22" x14ac:dyDescent="0.3">
      <c r="A48"/>
      <c r="B48" s="1" t="s">
        <v>42</v>
      </c>
      <c r="C48" s="34" t="s">
        <v>5</v>
      </c>
      <c r="D4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8" s="91">
        <f>SUMIFS(Tabel_VAS2023[aantal_VAS],Tabel_VAS2023[Zaakcode],Tabel_prc_2023[[#This Row],[Zaakcode]],Tabel_VAS2023[Adviesofprocedure],"prc",Tabel_VAS2023[code_punten_forfait],10)</f>
        <v>0</v>
      </c>
      <c r="G48" s="91">
        <f>SUMIFS(Tabel_VAS2023[aantal_VAS],Tabel_VAS2023[Zaakcode],Tabel_prc_2023[[#This Row],[Zaakcode]],Tabel_VAS2023[Adviesofprocedure],"prc",Tabel_VAS2023[code_punten_forfait],11)</f>
        <v>0</v>
      </c>
      <c r="H48" s="92">
        <f>SUMIFS(Tabel_VAS2023[aantal_VAS],Tabel_VAS2023[Zaakcode],Tabel_prc_2023[[#This Row],[Zaakcode]],Tabel_VAS2023[Adviesofprocedure],"prc",Tabel_VAS2023[code_punten_forfait],13)</f>
        <v>0</v>
      </c>
      <c r="I48" s="92">
        <f>SUMIFS(Tabel_VAS2023[aantal_VAS],Tabel_VAS2023[Zaakcode],Tabel_prc_2023[[#This Row],[Zaakcode]],Tabel_VAS2023[Adviesofprocedure],"prc",Tabel_VAS2023[code_punten_forfait],14)</f>
        <v>0</v>
      </c>
      <c r="J48" s="91">
        <f>SUMIFS(Tabel_VAS2023[aantal_VAS],Tabel_VAS2023[Zaakcode],Tabel_prc_2023[[#This Row],[Zaakcode]],Tabel_VAS2023[Adviesofprocedure],"prc",Tabel_VAS2023[code_punten_forfait],12)</f>
        <v>0</v>
      </c>
      <c r="K48" s="92">
        <f>SUMIFS(Tabel_VAS2023[aantal_VAS],Tabel_VAS2023[Zaakcode],Tabel_prc_2023[[#This Row],[Zaakcode]],Tabel_VAS2023[Adviesofprocedure],"prc",Tabel_VAS2023[code_punten_forfait],15)</f>
        <v>0</v>
      </c>
      <c r="L48" s="92">
        <f>SUMIFS(Tabel_VAS2023[aantal_VAS],Tabel_VAS2023[Zaakcode],Tabel_prc_2023[[#This Row],[Zaakcode]],Tabel_VAS2023[Adviesofprocedure],"prc",Tabel_VAS2023[code_punten_forfait],16)</f>
        <v>0</v>
      </c>
      <c r="M48" s="35" t="str">
        <f>IFERROR(INDEX(Tabel_forfaits[forfait vanaf 2022],MATCH(Tabel_prc_2023[[#This Row],[Zaakcode]],Tabel_forfaits[Zaakcode],0)), "n.v.t.")</f>
        <v>n.v.t.</v>
      </c>
      <c r="N48" s="35" t="str">
        <f>IFERROR(INDEX(Tabel_forfaits[forfait VdM II voor berekening],MATCH(Tabel_prc_2023[[#This Row],[Zaakcode]],Tabel_forfaits[Zaakcode],0)), "n.v.t.")</f>
        <v>n.v.t.</v>
      </c>
      <c r="O48" s="36"/>
      <c r="P4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8" s="35">
        <f>IF(Tabel_prc_2023[[#This Row],[procedure - forfait VdM II]]="n.v.t.",0,  Tabel_prc_2023[[#This Row],[procedure - aantal 0 punten]] * (Tabel_prc_2023[[#This Row],[procedure - forfait VdM II]] - Tabel_prc_2023[[#This Row],[procedure - forfait VdM I]]))</f>
        <v>0</v>
      </c>
      <c r="T4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8" s="109">
        <f>Tabel_prc_2023[[#This Row],[procedure - totaal extra punten toev. VdM II t.o.v. huidig]] * tarief_huidig</f>
        <v>0</v>
      </c>
    </row>
    <row r="49" spans="1:22" x14ac:dyDescent="0.3">
      <c r="A49"/>
      <c r="B49" s="1" t="s">
        <v>43</v>
      </c>
      <c r="C49" s="34" t="s">
        <v>5</v>
      </c>
      <c r="D4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4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49" s="91">
        <f>SUMIFS(Tabel_VAS2023[aantal_VAS],Tabel_VAS2023[Zaakcode],Tabel_prc_2023[[#This Row],[Zaakcode]],Tabel_VAS2023[Adviesofprocedure],"prc",Tabel_VAS2023[code_punten_forfait],10)</f>
        <v>0</v>
      </c>
      <c r="G49" s="91">
        <f>SUMIFS(Tabel_VAS2023[aantal_VAS],Tabel_VAS2023[Zaakcode],Tabel_prc_2023[[#This Row],[Zaakcode]],Tabel_VAS2023[Adviesofprocedure],"prc",Tabel_VAS2023[code_punten_forfait],11)</f>
        <v>0</v>
      </c>
      <c r="H49" s="92">
        <f>SUMIFS(Tabel_VAS2023[aantal_VAS],Tabel_VAS2023[Zaakcode],Tabel_prc_2023[[#This Row],[Zaakcode]],Tabel_VAS2023[Adviesofprocedure],"prc",Tabel_VAS2023[code_punten_forfait],13)</f>
        <v>0</v>
      </c>
      <c r="I49" s="92">
        <f>SUMIFS(Tabel_VAS2023[aantal_VAS],Tabel_VAS2023[Zaakcode],Tabel_prc_2023[[#This Row],[Zaakcode]],Tabel_VAS2023[Adviesofprocedure],"prc",Tabel_VAS2023[code_punten_forfait],14)</f>
        <v>0</v>
      </c>
      <c r="J49" s="91">
        <f>SUMIFS(Tabel_VAS2023[aantal_VAS],Tabel_VAS2023[Zaakcode],Tabel_prc_2023[[#This Row],[Zaakcode]],Tabel_VAS2023[Adviesofprocedure],"prc",Tabel_VAS2023[code_punten_forfait],12)</f>
        <v>0</v>
      </c>
      <c r="K49" s="92">
        <f>SUMIFS(Tabel_VAS2023[aantal_VAS],Tabel_VAS2023[Zaakcode],Tabel_prc_2023[[#This Row],[Zaakcode]],Tabel_VAS2023[Adviesofprocedure],"prc",Tabel_VAS2023[code_punten_forfait],15)</f>
        <v>0</v>
      </c>
      <c r="L49" s="92">
        <f>SUMIFS(Tabel_VAS2023[aantal_VAS],Tabel_VAS2023[Zaakcode],Tabel_prc_2023[[#This Row],[Zaakcode]],Tabel_VAS2023[Adviesofprocedure],"prc",Tabel_VAS2023[code_punten_forfait],16)</f>
        <v>0</v>
      </c>
      <c r="M49" s="35" t="str">
        <f>IFERROR(INDEX(Tabel_forfaits[forfait vanaf 2022],MATCH(Tabel_prc_2023[[#This Row],[Zaakcode]],Tabel_forfaits[Zaakcode],0)), "n.v.t.")</f>
        <v>n.v.t.</v>
      </c>
      <c r="N49" s="35" t="str">
        <f>IFERROR(INDEX(Tabel_forfaits[forfait VdM II voor berekening],MATCH(Tabel_prc_2023[[#This Row],[Zaakcode]],Tabel_forfaits[Zaakcode],0)), "n.v.t.")</f>
        <v>n.v.t.</v>
      </c>
      <c r="O49" s="36"/>
      <c r="P4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4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4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49" s="35">
        <f>IF(Tabel_prc_2023[[#This Row],[procedure - forfait VdM II]]="n.v.t.",0,  Tabel_prc_2023[[#This Row],[procedure - aantal 0 punten]] * (Tabel_prc_2023[[#This Row],[procedure - forfait VdM II]] - Tabel_prc_2023[[#This Row],[procedure - forfait VdM I]]))</f>
        <v>0</v>
      </c>
      <c r="T4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4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49" s="109">
        <f>Tabel_prc_2023[[#This Row],[procedure - totaal extra punten toev. VdM II t.o.v. huidig]] * tarief_huidig</f>
        <v>0</v>
      </c>
    </row>
    <row r="50" spans="1:22" x14ac:dyDescent="0.3">
      <c r="A50"/>
      <c r="B50" s="1" t="s">
        <v>44</v>
      </c>
      <c r="C50" s="34" t="s">
        <v>5</v>
      </c>
      <c r="D5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0" s="91">
        <f>SUMIFS(Tabel_VAS2023[aantal_VAS],Tabel_VAS2023[Zaakcode],Tabel_prc_2023[[#This Row],[Zaakcode]],Tabel_VAS2023[Adviesofprocedure],"prc",Tabel_VAS2023[code_punten_forfait],10)</f>
        <v>0</v>
      </c>
      <c r="G50" s="91">
        <f>SUMIFS(Tabel_VAS2023[aantal_VAS],Tabel_VAS2023[Zaakcode],Tabel_prc_2023[[#This Row],[Zaakcode]],Tabel_VAS2023[Adviesofprocedure],"prc",Tabel_VAS2023[code_punten_forfait],11)</f>
        <v>0</v>
      </c>
      <c r="H50" s="92">
        <f>SUMIFS(Tabel_VAS2023[aantal_VAS],Tabel_VAS2023[Zaakcode],Tabel_prc_2023[[#This Row],[Zaakcode]],Tabel_VAS2023[Adviesofprocedure],"prc",Tabel_VAS2023[code_punten_forfait],13)</f>
        <v>0</v>
      </c>
      <c r="I50" s="92">
        <f>SUMIFS(Tabel_VAS2023[aantal_VAS],Tabel_VAS2023[Zaakcode],Tabel_prc_2023[[#This Row],[Zaakcode]],Tabel_VAS2023[Adviesofprocedure],"prc",Tabel_VAS2023[code_punten_forfait],14)</f>
        <v>0</v>
      </c>
      <c r="J50" s="91">
        <f>SUMIFS(Tabel_VAS2023[aantal_VAS],Tabel_VAS2023[Zaakcode],Tabel_prc_2023[[#This Row],[Zaakcode]],Tabel_VAS2023[Adviesofprocedure],"prc",Tabel_VAS2023[code_punten_forfait],12)</f>
        <v>0</v>
      </c>
      <c r="K50" s="92">
        <f>SUMIFS(Tabel_VAS2023[aantal_VAS],Tabel_VAS2023[Zaakcode],Tabel_prc_2023[[#This Row],[Zaakcode]],Tabel_VAS2023[Adviesofprocedure],"prc",Tabel_VAS2023[code_punten_forfait],15)</f>
        <v>0</v>
      </c>
      <c r="L50" s="92">
        <f>SUMIFS(Tabel_VAS2023[aantal_VAS],Tabel_VAS2023[Zaakcode],Tabel_prc_2023[[#This Row],[Zaakcode]],Tabel_VAS2023[Adviesofprocedure],"prc",Tabel_VAS2023[code_punten_forfait],16)</f>
        <v>0</v>
      </c>
      <c r="M50" s="35" t="str">
        <f>IFERROR(INDEX(Tabel_forfaits[forfait vanaf 2022],MATCH(Tabel_prc_2023[[#This Row],[Zaakcode]],Tabel_forfaits[Zaakcode],0)), "n.v.t.")</f>
        <v>n.v.t.</v>
      </c>
      <c r="N50" s="35" t="str">
        <f>IFERROR(INDEX(Tabel_forfaits[forfait VdM II voor berekening],MATCH(Tabel_prc_2023[[#This Row],[Zaakcode]],Tabel_forfaits[Zaakcode],0)), "n.v.t.")</f>
        <v>n.v.t.</v>
      </c>
      <c r="O50" s="36"/>
      <c r="P5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0" s="35">
        <f>IF(Tabel_prc_2023[[#This Row],[procedure - forfait VdM II]]="n.v.t.",0,  Tabel_prc_2023[[#This Row],[procedure - aantal 0 punten]] * (Tabel_prc_2023[[#This Row],[procedure - forfait VdM II]] - Tabel_prc_2023[[#This Row],[procedure - forfait VdM I]]))</f>
        <v>0</v>
      </c>
      <c r="T5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0" s="109">
        <f>Tabel_prc_2023[[#This Row],[procedure - totaal extra punten toev. VdM II t.o.v. huidig]] * tarief_huidig</f>
        <v>0</v>
      </c>
    </row>
    <row r="51" spans="1:22" x14ac:dyDescent="0.3">
      <c r="A51"/>
      <c r="B51" s="1" t="s">
        <v>45</v>
      </c>
      <c r="C51" s="34" t="s">
        <v>5</v>
      </c>
      <c r="D5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1" s="91">
        <f>SUMIFS(Tabel_VAS2023[aantal_VAS],Tabel_VAS2023[Zaakcode],Tabel_prc_2023[[#This Row],[Zaakcode]],Tabel_VAS2023[Adviesofprocedure],"prc",Tabel_VAS2023[code_punten_forfait],10)</f>
        <v>0</v>
      </c>
      <c r="G51" s="91">
        <f>SUMIFS(Tabel_VAS2023[aantal_VAS],Tabel_VAS2023[Zaakcode],Tabel_prc_2023[[#This Row],[Zaakcode]],Tabel_VAS2023[Adviesofprocedure],"prc",Tabel_VAS2023[code_punten_forfait],11)</f>
        <v>0</v>
      </c>
      <c r="H51" s="92">
        <f>SUMIFS(Tabel_VAS2023[aantal_VAS],Tabel_VAS2023[Zaakcode],Tabel_prc_2023[[#This Row],[Zaakcode]],Tabel_VAS2023[Adviesofprocedure],"prc",Tabel_VAS2023[code_punten_forfait],13)</f>
        <v>0</v>
      </c>
      <c r="I51" s="92">
        <f>SUMIFS(Tabel_VAS2023[aantal_VAS],Tabel_VAS2023[Zaakcode],Tabel_prc_2023[[#This Row],[Zaakcode]],Tabel_VAS2023[Adviesofprocedure],"prc",Tabel_VAS2023[code_punten_forfait],14)</f>
        <v>0</v>
      </c>
      <c r="J51" s="91">
        <f>SUMIFS(Tabel_VAS2023[aantal_VAS],Tabel_VAS2023[Zaakcode],Tabel_prc_2023[[#This Row],[Zaakcode]],Tabel_VAS2023[Adviesofprocedure],"prc",Tabel_VAS2023[code_punten_forfait],12)</f>
        <v>0</v>
      </c>
      <c r="K51" s="92">
        <f>SUMIFS(Tabel_VAS2023[aantal_VAS],Tabel_VAS2023[Zaakcode],Tabel_prc_2023[[#This Row],[Zaakcode]],Tabel_VAS2023[Adviesofprocedure],"prc",Tabel_VAS2023[code_punten_forfait],15)</f>
        <v>0</v>
      </c>
      <c r="L51" s="92">
        <f>SUMIFS(Tabel_VAS2023[aantal_VAS],Tabel_VAS2023[Zaakcode],Tabel_prc_2023[[#This Row],[Zaakcode]],Tabel_VAS2023[Adviesofprocedure],"prc",Tabel_VAS2023[code_punten_forfait],16)</f>
        <v>0</v>
      </c>
      <c r="M51" s="35" t="str">
        <f>IFERROR(INDEX(Tabel_forfaits[forfait vanaf 2022],MATCH(Tabel_prc_2023[[#This Row],[Zaakcode]],Tabel_forfaits[Zaakcode],0)), "n.v.t.")</f>
        <v>n.v.t.</v>
      </c>
      <c r="N51" s="35" t="str">
        <f>IFERROR(INDEX(Tabel_forfaits[forfait VdM II voor berekening],MATCH(Tabel_prc_2023[[#This Row],[Zaakcode]],Tabel_forfaits[Zaakcode],0)), "n.v.t.")</f>
        <v>n.v.t.</v>
      </c>
      <c r="O51" s="36"/>
      <c r="P5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1" s="35">
        <f>IF(Tabel_prc_2023[[#This Row],[procedure - forfait VdM II]]="n.v.t.",0,  Tabel_prc_2023[[#This Row],[procedure - aantal 0 punten]] * (Tabel_prc_2023[[#This Row],[procedure - forfait VdM II]] - Tabel_prc_2023[[#This Row],[procedure - forfait VdM I]]))</f>
        <v>0</v>
      </c>
      <c r="T5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1" s="109">
        <f>Tabel_prc_2023[[#This Row],[procedure - totaal extra punten toev. VdM II t.o.v. huidig]] * tarief_huidig</f>
        <v>0</v>
      </c>
    </row>
    <row r="52" spans="1:22" x14ac:dyDescent="0.3">
      <c r="A52"/>
      <c r="B52" s="1" t="s">
        <v>46</v>
      </c>
      <c r="C52" s="34" t="s">
        <v>5</v>
      </c>
      <c r="D5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2" s="91">
        <f>SUMIFS(Tabel_VAS2023[aantal_VAS],Tabel_VAS2023[Zaakcode],Tabel_prc_2023[[#This Row],[Zaakcode]],Tabel_VAS2023[Adviesofprocedure],"prc",Tabel_VAS2023[code_punten_forfait],10)</f>
        <v>0</v>
      </c>
      <c r="G52" s="91">
        <f>SUMIFS(Tabel_VAS2023[aantal_VAS],Tabel_VAS2023[Zaakcode],Tabel_prc_2023[[#This Row],[Zaakcode]],Tabel_VAS2023[Adviesofprocedure],"prc",Tabel_VAS2023[code_punten_forfait],11)</f>
        <v>0</v>
      </c>
      <c r="H52" s="92">
        <f>SUMIFS(Tabel_VAS2023[aantal_VAS],Tabel_VAS2023[Zaakcode],Tabel_prc_2023[[#This Row],[Zaakcode]],Tabel_VAS2023[Adviesofprocedure],"prc",Tabel_VAS2023[code_punten_forfait],13)</f>
        <v>0</v>
      </c>
      <c r="I52" s="92">
        <f>SUMIFS(Tabel_VAS2023[aantal_VAS],Tabel_VAS2023[Zaakcode],Tabel_prc_2023[[#This Row],[Zaakcode]],Tabel_VAS2023[Adviesofprocedure],"prc",Tabel_VAS2023[code_punten_forfait],14)</f>
        <v>0</v>
      </c>
      <c r="J52" s="91">
        <f>SUMIFS(Tabel_VAS2023[aantal_VAS],Tabel_VAS2023[Zaakcode],Tabel_prc_2023[[#This Row],[Zaakcode]],Tabel_VAS2023[Adviesofprocedure],"prc",Tabel_VAS2023[code_punten_forfait],12)</f>
        <v>0</v>
      </c>
      <c r="K52" s="92">
        <f>SUMIFS(Tabel_VAS2023[aantal_VAS],Tabel_VAS2023[Zaakcode],Tabel_prc_2023[[#This Row],[Zaakcode]],Tabel_VAS2023[Adviesofprocedure],"prc",Tabel_VAS2023[code_punten_forfait],15)</f>
        <v>0</v>
      </c>
      <c r="L52" s="92">
        <f>SUMIFS(Tabel_VAS2023[aantal_VAS],Tabel_VAS2023[Zaakcode],Tabel_prc_2023[[#This Row],[Zaakcode]],Tabel_VAS2023[Adviesofprocedure],"prc",Tabel_VAS2023[code_punten_forfait],16)</f>
        <v>0</v>
      </c>
      <c r="M52" s="35" t="str">
        <f>IFERROR(INDEX(Tabel_forfaits[forfait vanaf 2022],MATCH(Tabel_prc_2023[[#This Row],[Zaakcode]],Tabel_forfaits[Zaakcode],0)), "n.v.t.")</f>
        <v>n.v.t.</v>
      </c>
      <c r="N52" s="35" t="str">
        <f>IFERROR(INDEX(Tabel_forfaits[forfait VdM II voor berekening],MATCH(Tabel_prc_2023[[#This Row],[Zaakcode]],Tabel_forfaits[Zaakcode],0)), "n.v.t.")</f>
        <v>n.v.t.</v>
      </c>
      <c r="O52" s="36"/>
      <c r="P5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2" s="35">
        <f>IF(Tabel_prc_2023[[#This Row],[procedure - forfait VdM II]]="n.v.t.",0,  Tabel_prc_2023[[#This Row],[procedure - aantal 0 punten]] * (Tabel_prc_2023[[#This Row],[procedure - forfait VdM II]] - Tabel_prc_2023[[#This Row],[procedure - forfait VdM I]]))</f>
        <v>0</v>
      </c>
      <c r="T5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2" s="109">
        <f>Tabel_prc_2023[[#This Row],[procedure - totaal extra punten toev. VdM II t.o.v. huidig]] * tarief_huidig</f>
        <v>0</v>
      </c>
    </row>
    <row r="53" spans="1:22" x14ac:dyDescent="0.3">
      <c r="A53"/>
      <c r="B53" s="1" t="s">
        <v>47</v>
      </c>
      <c r="C53" s="34" t="s">
        <v>5</v>
      </c>
      <c r="D5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3" s="91">
        <f>SUMIFS(Tabel_VAS2023[aantal_VAS],Tabel_VAS2023[Zaakcode],Tabel_prc_2023[[#This Row],[Zaakcode]],Tabel_VAS2023[Adviesofprocedure],"prc",Tabel_VAS2023[code_punten_forfait],10)</f>
        <v>0</v>
      </c>
      <c r="G53" s="91">
        <f>SUMIFS(Tabel_VAS2023[aantal_VAS],Tabel_VAS2023[Zaakcode],Tabel_prc_2023[[#This Row],[Zaakcode]],Tabel_VAS2023[Adviesofprocedure],"prc",Tabel_VAS2023[code_punten_forfait],11)</f>
        <v>0</v>
      </c>
      <c r="H53" s="92">
        <f>SUMIFS(Tabel_VAS2023[aantal_VAS],Tabel_VAS2023[Zaakcode],Tabel_prc_2023[[#This Row],[Zaakcode]],Tabel_VAS2023[Adviesofprocedure],"prc",Tabel_VAS2023[code_punten_forfait],13)</f>
        <v>0</v>
      </c>
      <c r="I53" s="92">
        <f>SUMIFS(Tabel_VAS2023[aantal_VAS],Tabel_VAS2023[Zaakcode],Tabel_prc_2023[[#This Row],[Zaakcode]],Tabel_VAS2023[Adviesofprocedure],"prc",Tabel_VAS2023[code_punten_forfait],14)</f>
        <v>0</v>
      </c>
      <c r="J53" s="91">
        <f>SUMIFS(Tabel_VAS2023[aantal_VAS],Tabel_VAS2023[Zaakcode],Tabel_prc_2023[[#This Row],[Zaakcode]],Tabel_VAS2023[Adviesofprocedure],"prc",Tabel_VAS2023[code_punten_forfait],12)</f>
        <v>0</v>
      </c>
      <c r="K53" s="92">
        <f>SUMIFS(Tabel_VAS2023[aantal_VAS],Tabel_VAS2023[Zaakcode],Tabel_prc_2023[[#This Row],[Zaakcode]],Tabel_VAS2023[Adviesofprocedure],"prc",Tabel_VAS2023[code_punten_forfait],15)</f>
        <v>0</v>
      </c>
      <c r="L53" s="92">
        <f>SUMIFS(Tabel_VAS2023[aantal_VAS],Tabel_VAS2023[Zaakcode],Tabel_prc_2023[[#This Row],[Zaakcode]],Tabel_VAS2023[Adviesofprocedure],"prc",Tabel_VAS2023[code_punten_forfait],16)</f>
        <v>0</v>
      </c>
      <c r="M53" s="35" t="str">
        <f>IFERROR(INDEX(Tabel_forfaits[forfait vanaf 2022],MATCH(Tabel_prc_2023[[#This Row],[Zaakcode]],Tabel_forfaits[Zaakcode],0)), "n.v.t.")</f>
        <v>n.v.t.</v>
      </c>
      <c r="N53" s="35" t="str">
        <f>IFERROR(INDEX(Tabel_forfaits[forfait VdM II voor berekening],MATCH(Tabel_prc_2023[[#This Row],[Zaakcode]],Tabel_forfaits[Zaakcode],0)), "n.v.t.")</f>
        <v>n.v.t.</v>
      </c>
      <c r="O53" s="36"/>
      <c r="P5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3" s="35">
        <f>IF(Tabel_prc_2023[[#This Row],[procedure - forfait VdM II]]="n.v.t.",0,  Tabel_prc_2023[[#This Row],[procedure - aantal 0 punten]] * (Tabel_prc_2023[[#This Row],[procedure - forfait VdM II]] - Tabel_prc_2023[[#This Row],[procedure - forfait VdM I]]))</f>
        <v>0</v>
      </c>
      <c r="T5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3" s="109">
        <f>Tabel_prc_2023[[#This Row],[procedure - totaal extra punten toev. VdM II t.o.v. huidig]] * tarief_huidig</f>
        <v>0</v>
      </c>
    </row>
    <row r="54" spans="1:22" x14ac:dyDescent="0.3">
      <c r="A54"/>
      <c r="B54" s="1" t="s">
        <v>48</v>
      </c>
      <c r="C54" s="34" t="s">
        <v>5</v>
      </c>
      <c r="D5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4" s="91">
        <f>SUMIFS(Tabel_VAS2023[aantal_VAS],Tabel_VAS2023[Zaakcode],Tabel_prc_2023[[#This Row],[Zaakcode]],Tabel_VAS2023[Adviesofprocedure],"prc",Tabel_VAS2023[code_punten_forfait],10)</f>
        <v>0</v>
      </c>
      <c r="G54" s="91">
        <f>SUMIFS(Tabel_VAS2023[aantal_VAS],Tabel_VAS2023[Zaakcode],Tabel_prc_2023[[#This Row],[Zaakcode]],Tabel_VAS2023[Adviesofprocedure],"prc",Tabel_VAS2023[code_punten_forfait],11)</f>
        <v>0</v>
      </c>
      <c r="H54" s="92">
        <f>SUMIFS(Tabel_VAS2023[aantal_VAS],Tabel_VAS2023[Zaakcode],Tabel_prc_2023[[#This Row],[Zaakcode]],Tabel_VAS2023[Adviesofprocedure],"prc",Tabel_VAS2023[code_punten_forfait],13)</f>
        <v>0</v>
      </c>
      <c r="I54" s="92">
        <f>SUMIFS(Tabel_VAS2023[aantal_VAS],Tabel_VAS2023[Zaakcode],Tabel_prc_2023[[#This Row],[Zaakcode]],Tabel_VAS2023[Adviesofprocedure],"prc",Tabel_VAS2023[code_punten_forfait],14)</f>
        <v>0</v>
      </c>
      <c r="J54" s="91">
        <f>SUMIFS(Tabel_VAS2023[aantal_VAS],Tabel_VAS2023[Zaakcode],Tabel_prc_2023[[#This Row],[Zaakcode]],Tabel_VAS2023[Adviesofprocedure],"prc",Tabel_VAS2023[code_punten_forfait],12)</f>
        <v>0</v>
      </c>
      <c r="K54" s="92">
        <f>SUMIFS(Tabel_VAS2023[aantal_VAS],Tabel_VAS2023[Zaakcode],Tabel_prc_2023[[#This Row],[Zaakcode]],Tabel_VAS2023[Adviesofprocedure],"prc",Tabel_VAS2023[code_punten_forfait],15)</f>
        <v>0</v>
      </c>
      <c r="L54" s="92">
        <f>SUMIFS(Tabel_VAS2023[aantal_VAS],Tabel_VAS2023[Zaakcode],Tabel_prc_2023[[#This Row],[Zaakcode]],Tabel_VAS2023[Adviesofprocedure],"prc",Tabel_VAS2023[code_punten_forfait],16)</f>
        <v>0</v>
      </c>
      <c r="M54" s="35" t="str">
        <f>IFERROR(INDEX(Tabel_forfaits[forfait vanaf 2022],MATCH(Tabel_prc_2023[[#This Row],[Zaakcode]],Tabel_forfaits[Zaakcode],0)), "n.v.t.")</f>
        <v>n.v.t.</v>
      </c>
      <c r="N54" s="35" t="str">
        <f>IFERROR(INDEX(Tabel_forfaits[forfait VdM II voor berekening],MATCH(Tabel_prc_2023[[#This Row],[Zaakcode]],Tabel_forfaits[Zaakcode],0)), "n.v.t.")</f>
        <v>n.v.t.</v>
      </c>
      <c r="O54" s="36"/>
      <c r="P5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4" s="35">
        <f>IF(Tabel_prc_2023[[#This Row],[procedure - forfait VdM II]]="n.v.t.",0,  Tabel_prc_2023[[#This Row],[procedure - aantal 0 punten]] * (Tabel_prc_2023[[#This Row],[procedure - forfait VdM II]] - Tabel_prc_2023[[#This Row],[procedure - forfait VdM I]]))</f>
        <v>0</v>
      </c>
      <c r="T5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4" s="109">
        <f>Tabel_prc_2023[[#This Row],[procedure - totaal extra punten toev. VdM II t.o.v. huidig]] * tarief_huidig</f>
        <v>0</v>
      </c>
    </row>
    <row r="55" spans="1:22" x14ac:dyDescent="0.3">
      <c r="A55"/>
      <c r="B55" s="1" t="s">
        <v>49</v>
      </c>
      <c r="C55" s="34" t="s">
        <v>5</v>
      </c>
      <c r="D5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5" s="91">
        <f>SUMIFS(Tabel_VAS2023[aantal_VAS],Tabel_VAS2023[Zaakcode],Tabel_prc_2023[[#This Row],[Zaakcode]],Tabel_VAS2023[Adviesofprocedure],"prc",Tabel_VAS2023[code_punten_forfait],10)</f>
        <v>0</v>
      </c>
      <c r="G55" s="91">
        <f>SUMIFS(Tabel_VAS2023[aantal_VAS],Tabel_VAS2023[Zaakcode],Tabel_prc_2023[[#This Row],[Zaakcode]],Tabel_VAS2023[Adviesofprocedure],"prc",Tabel_VAS2023[code_punten_forfait],11)</f>
        <v>0</v>
      </c>
      <c r="H55" s="92">
        <f>SUMIFS(Tabel_VAS2023[aantal_VAS],Tabel_VAS2023[Zaakcode],Tabel_prc_2023[[#This Row],[Zaakcode]],Tabel_VAS2023[Adviesofprocedure],"prc",Tabel_VAS2023[code_punten_forfait],13)</f>
        <v>0</v>
      </c>
      <c r="I55" s="92">
        <f>SUMIFS(Tabel_VAS2023[aantal_VAS],Tabel_VAS2023[Zaakcode],Tabel_prc_2023[[#This Row],[Zaakcode]],Tabel_VAS2023[Adviesofprocedure],"prc",Tabel_VAS2023[code_punten_forfait],14)</f>
        <v>0</v>
      </c>
      <c r="J55" s="91">
        <f>SUMIFS(Tabel_VAS2023[aantal_VAS],Tabel_VAS2023[Zaakcode],Tabel_prc_2023[[#This Row],[Zaakcode]],Tabel_VAS2023[Adviesofprocedure],"prc",Tabel_VAS2023[code_punten_forfait],12)</f>
        <v>0</v>
      </c>
      <c r="K55" s="92">
        <f>SUMIFS(Tabel_VAS2023[aantal_VAS],Tabel_VAS2023[Zaakcode],Tabel_prc_2023[[#This Row],[Zaakcode]],Tabel_VAS2023[Adviesofprocedure],"prc",Tabel_VAS2023[code_punten_forfait],15)</f>
        <v>0</v>
      </c>
      <c r="L55" s="92">
        <f>SUMIFS(Tabel_VAS2023[aantal_VAS],Tabel_VAS2023[Zaakcode],Tabel_prc_2023[[#This Row],[Zaakcode]],Tabel_VAS2023[Adviesofprocedure],"prc",Tabel_VAS2023[code_punten_forfait],16)</f>
        <v>0</v>
      </c>
      <c r="M55" s="35" t="str">
        <f>IFERROR(INDEX(Tabel_forfaits[forfait vanaf 2022],MATCH(Tabel_prc_2023[[#This Row],[Zaakcode]],Tabel_forfaits[Zaakcode],0)), "n.v.t.")</f>
        <v>n.v.t.</v>
      </c>
      <c r="N55" s="35" t="str">
        <f>IFERROR(INDEX(Tabel_forfaits[forfait VdM II voor berekening],MATCH(Tabel_prc_2023[[#This Row],[Zaakcode]],Tabel_forfaits[Zaakcode],0)), "n.v.t.")</f>
        <v>n.v.t.</v>
      </c>
      <c r="O55" s="36"/>
      <c r="P5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5" s="35">
        <f>IF(Tabel_prc_2023[[#This Row],[procedure - forfait VdM II]]="n.v.t.",0,  Tabel_prc_2023[[#This Row],[procedure - aantal 0 punten]] * (Tabel_prc_2023[[#This Row],[procedure - forfait VdM II]] - Tabel_prc_2023[[#This Row],[procedure - forfait VdM I]]))</f>
        <v>0</v>
      </c>
      <c r="T5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5" s="109">
        <f>Tabel_prc_2023[[#This Row],[procedure - totaal extra punten toev. VdM II t.o.v. huidig]] * tarief_huidig</f>
        <v>0</v>
      </c>
    </row>
    <row r="56" spans="1:22" x14ac:dyDescent="0.3">
      <c r="A56"/>
      <c r="B56" s="1" t="s">
        <v>50</v>
      </c>
      <c r="C56" s="34" t="s">
        <v>5</v>
      </c>
      <c r="D5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6" s="91">
        <f>SUMIFS(Tabel_VAS2023[aantal_VAS],Tabel_VAS2023[Zaakcode],Tabel_prc_2023[[#This Row],[Zaakcode]],Tabel_VAS2023[Adviesofprocedure],"prc",Tabel_VAS2023[code_punten_forfait],10)</f>
        <v>0</v>
      </c>
      <c r="G56" s="91">
        <f>SUMIFS(Tabel_VAS2023[aantal_VAS],Tabel_VAS2023[Zaakcode],Tabel_prc_2023[[#This Row],[Zaakcode]],Tabel_VAS2023[Adviesofprocedure],"prc",Tabel_VAS2023[code_punten_forfait],11)</f>
        <v>0</v>
      </c>
      <c r="H56" s="92">
        <f>SUMIFS(Tabel_VAS2023[aantal_VAS],Tabel_VAS2023[Zaakcode],Tabel_prc_2023[[#This Row],[Zaakcode]],Tabel_VAS2023[Adviesofprocedure],"prc",Tabel_VAS2023[code_punten_forfait],13)</f>
        <v>0</v>
      </c>
      <c r="I56" s="92">
        <f>SUMIFS(Tabel_VAS2023[aantal_VAS],Tabel_VAS2023[Zaakcode],Tabel_prc_2023[[#This Row],[Zaakcode]],Tabel_VAS2023[Adviesofprocedure],"prc",Tabel_VAS2023[code_punten_forfait],14)</f>
        <v>0</v>
      </c>
      <c r="J56" s="91">
        <f>SUMIFS(Tabel_VAS2023[aantal_VAS],Tabel_VAS2023[Zaakcode],Tabel_prc_2023[[#This Row],[Zaakcode]],Tabel_VAS2023[Adviesofprocedure],"prc",Tabel_VAS2023[code_punten_forfait],12)</f>
        <v>0</v>
      </c>
      <c r="K56" s="92">
        <f>SUMIFS(Tabel_VAS2023[aantal_VAS],Tabel_VAS2023[Zaakcode],Tabel_prc_2023[[#This Row],[Zaakcode]],Tabel_VAS2023[Adviesofprocedure],"prc",Tabel_VAS2023[code_punten_forfait],15)</f>
        <v>0</v>
      </c>
      <c r="L56" s="92">
        <f>SUMIFS(Tabel_VAS2023[aantal_VAS],Tabel_VAS2023[Zaakcode],Tabel_prc_2023[[#This Row],[Zaakcode]],Tabel_VAS2023[Adviesofprocedure],"prc",Tabel_VAS2023[code_punten_forfait],16)</f>
        <v>0</v>
      </c>
      <c r="M56" s="35" t="str">
        <f>IFERROR(INDEX(Tabel_forfaits[forfait vanaf 2022],MATCH(Tabel_prc_2023[[#This Row],[Zaakcode]],Tabel_forfaits[Zaakcode],0)), "n.v.t.")</f>
        <v>n.v.t.</v>
      </c>
      <c r="N56" s="35" t="str">
        <f>IFERROR(INDEX(Tabel_forfaits[forfait VdM II voor berekening],MATCH(Tabel_prc_2023[[#This Row],[Zaakcode]],Tabel_forfaits[Zaakcode],0)), "n.v.t.")</f>
        <v>n.v.t.</v>
      </c>
      <c r="O56" s="36"/>
      <c r="P5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6" s="35">
        <f>IF(Tabel_prc_2023[[#This Row],[procedure - forfait VdM II]]="n.v.t.",0,  Tabel_prc_2023[[#This Row],[procedure - aantal 0 punten]] * (Tabel_prc_2023[[#This Row],[procedure - forfait VdM II]] - Tabel_prc_2023[[#This Row],[procedure - forfait VdM I]]))</f>
        <v>0</v>
      </c>
      <c r="T5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6" s="109">
        <f>Tabel_prc_2023[[#This Row],[procedure - totaal extra punten toev. VdM II t.o.v. huidig]] * tarief_huidig</f>
        <v>0</v>
      </c>
    </row>
    <row r="57" spans="1:22" x14ac:dyDescent="0.3">
      <c r="A57"/>
      <c r="B57" s="1" t="s">
        <v>51</v>
      </c>
      <c r="C57" s="34" t="s">
        <v>5</v>
      </c>
      <c r="D5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7" s="91">
        <f>SUMIFS(Tabel_VAS2023[aantal_VAS],Tabel_VAS2023[Zaakcode],Tabel_prc_2023[[#This Row],[Zaakcode]],Tabel_VAS2023[Adviesofprocedure],"prc",Tabel_VAS2023[code_punten_forfait],10)</f>
        <v>0</v>
      </c>
      <c r="G57" s="91">
        <f>SUMIFS(Tabel_VAS2023[aantal_VAS],Tabel_VAS2023[Zaakcode],Tabel_prc_2023[[#This Row],[Zaakcode]],Tabel_VAS2023[Adviesofprocedure],"prc",Tabel_VAS2023[code_punten_forfait],11)</f>
        <v>0</v>
      </c>
      <c r="H57" s="92">
        <f>SUMIFS(Tabel_VAS2023[aantal_VAS],Tabel_VAS2023[Zaakcode],Tabel_prc_2023[[#This Row],[Zaakcode]],Tabel_VAS2023[Adviesofprocedure],"prc",Tabel_VAS2023[code_punten_forfait],13)</f>
        <v>0</v>
      </c>
      <c r="I57" s="92">
        <f>SUMIFS(Tabel_VAS2023[aantal_VAS],Tabel_VAS2023[Zaakcode],Tabel_prc_2023[[#This Row],[Zaakcode]],Tabel_VAS2023[Adviesofprocedure],"prc",Tabel_VAS2023[code_punten_forfait],14)</f>
        <v>0</v>
      </c>
      <c r="J57" s="91">
        <f>SUMIFS(Tabel_VAS2023[aantal_VAS],Tabel_VAS2023[Zaakcode],Tabel_prc_2023[[#This Row],[Zaakcode]],Tabel_VAS2023[Adviesofprocedure],"prc",Tabel_VAS2023[code_punten_forfait],12)</f>
        <v>0</v>
      </c>
      <c r="K57" s="92">
        <f>SUMIFS(Tabel_VAS2023[aantal_VAS],Tabel_VAS2023[Zaakcode],Tabel_prc_2023[[#This Row],[Zaakcode]],Tabel_VAS2023[Adviesofprocedure],"prc",Tabel_VAS2023[code_punten_forfait],15)</f>
        <v>0</v>
      </c>
      <c r="L57" s="92">
        <f>SUMIFS(Tabel_VAS2023[aantal_VAS],Tabel_VAS2023[Zaakcode],Tabel_prc_2023[[#This Row],[Zaakcode]],Tabel_VAS2023[Adviesofprocedure],"prc",Tabel_VAS2023[code_punten_forfait],16)</f>
        <v>0</v>
      </c>
      <c r="M57" s="35" t="str">
        <f>IFERROR(INDEX(Tabel_forfaits[forfait vanaf 2022],MATCH(Tabel_prc_2023[[#This Row],[Zaakcode]],Tabel_forfaits[Zaakcode],0)), "n.v.t.")</f>
        <v>n.v.t.</v>
      </c>
      <c r="N57" s="35" t="str">
        <f>IFERROR(INDEX(Tabel_forfaits[forfait VdM II voor berekening],MATCH(Tabel_prc_2023[[#This Row],[Zaakcode]],Tabel_forfaits[Zaakcode],0)), "n.v.t.")</f>
        <v>n.v.t.</v>
      </c>
      <c r="O57" s="36"/>
      <c r="P5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7" s="35">
        <f>IF(Tabel_prc_2023[[#This Row],[procedure - forfait VdM II]]="n.v.t.",0,  Tabel_prc_2023[[#This Row],[procedure - aantal 0 punten]] * (Tabel_prc_2023[[#This Row],[procedure - forfait VdM II]] - Tabel_prc_2023[[#This Row],[procedure - forfait VdM I]]))</f>
        <v>0</v>
      </c>
      <c r="T5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7" s="109">
        <f>Tabel_prc_2023[[#This Row],[procedure - totaal extra punten toev. VdM II t.o.v. huidig]] * tarief_huidig</f>
        <v>0</v>
      </c>
    </row>
    <row r="58" spans="1:22" x14ac:dyDescent="0.3">
      <c r="A58"/>
      <c r="B58" s="1" t="s">
        <v>52</v>
      </c>
      <c r="C58" s="34" t="s">
        <v>5</v>
      </c>
      <c r="D5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8" s="91">
        <f>SUMIFS(Tabel_VAS2023[aantal_VAS],Tabel_VAS2023[Zaakcode],Tabel_prc_2023[[#This Row],[Zaakcode]],Tabel_VAS2023[Adviesofprocedure],"prc",Tabel_VAS2023[code_punten_forfait],10)</f>
        <v>0</v>
      </c>
      <c r="G58" s="91">
        <f>SUMIFS(Tabel_VAS2023[aantal_VAS],Tabel_VAS2023[Zaakcode],Tabel_prc_2023[[#This Row],[Zaakcode]],Tabel_VAS2023[Adviesofprocedure],"prc",Tabel_VAS2023[code_punten_forfait],11)</f>
        <v>0</v>
      </c>
      <c r="H58" s="92">
        <f>SUMIFS(Tabel_VAS2023[aantal_VAS],Tabel_VAS2023[Zaakcode],Tabel_prc_2023[[#This Row],[Zaakcode]],Tabel_VAS2023[Adviesofprocedure],"prc",Tabel_VAS2023[code_punten_forfait],13)</f>
        <v>0</v>
      </c>
      <c r="I58" s="92">
        <f>SUMIFS(Tabel_VAS2023[aantal_VAS],Tabel_VAS2023[Zaakcode],Tabel_prc_2023[[#This Row],[Zaakcode]],Tabel_VAS2023[Adviesofprocedure],"prc",Tabel_VAS2023[code_punten_forfait],14)</f>
        <v>0</v>
      </c>
      <c r="J58" s="91">
        <f>SUMIFS(Tabel_VAS2023[aantal_VAS],Tabel_VAS2023[Zaakcode],Tabel_prc_2023[[#This Row],[Zaakcode]],Tabel_VAS2023[Adviesofprocedure],"prc",Tabel_VAS2023[code_punten_forfait],12)</f>
        <v>0</v>
      </c>
      <c r="K58" s="92">
        <f>SUMIFS(Tabel_VAS2023[aantal_VAS],Tabel_VAS2023[Zaakcode],Tabel_prc_2023[[#This Row],[Zaakcode]],Tabel_VAS2023[Adviesofprocedure],"prc",Tabel_VAS2023[code_punten_forfait],15)</f>
        <v>0</v>
      </c>
      <c r="L58" s="92">
        <f>SUMIFS(Tabel_VAS2023[aantal_VAS],Tabel_VAS2023[Zaakcode],Tabel_prc_2023[[#This Row],[Zaakcode]],Tabel_VAS2023[Adviesofprocedure],"prc",Tabel_VAS2023[code_punten_forfait],16)</f>
        <v>0</v>
      </c>
      <c r="M58" s="35" t="str">
        <f>IFERROR(INDEX(Tabel_forfaits[forfait vanaf 2022],MATCH(Tabel_prc_2023[[#This Row],[Zaakcode]],Tabel_forfaits[Zaakcode],0)), "n.v.t.")</f>
        <v>n.v.t.</v>
      </c>
      <c r="N58" s="35" t="str">
        <f>IFERROR(INDEX(Tabel_forfaits[forfait VdM II voor berekening],MATCH(Tabel_prc_2023[[#This Row],[Zaakcode]],Tabel_forfaits[Zaakcode],0)), "n.v.t.")</f>
        <v>n.v.t.</v>
      </c>
      <c r="O58" s="36"/>
      <c r="P5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8" s="35">
        <f>IF(Tabel_prc_2023[[#This Row],[procedure - forfait VdM II]]="n.v.t.",0,  Tabel_prc_2023[[#This Row],[procedure - aantal 0 punten]] * (Tabel_prc_2023[[#This Row],[procedure - forfait VdM II]] - Tabel_prc_2023[[#This Row],[procedure - forfait VdM I]]))</f>
        <v>0</v>
      </c>
      <c r="T5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8" s="109">
        <f>Tabel_prc_2023[[#This Row],[procedure - totaal extra punten toev. VdM II t.o.v. huidig]] * tarief_huidig</f>
        <v>0</v>
      </c>
    </row>
    <row r="59" spans="1:22" x14ac:dyDescent="0.3">
      <c r="A59"/>
      <c r="B59" s="1" t="s">
        <v>53</v>
      </c>
      <c r="C59" s="34" t="s">
        <v>5</v>
      </c>
      <c r="D5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5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59" s="91">
        <f>SUMIFS(Tabel_VAS2023[aantal_VAS],Tabel_VAS2023[Zaakcode],Tabel_prc_2023[[#This Row],[Zaakcode]],Tabel_VAS2023[Adviesofprocedure],"prc",Tabel_VAS2023[code_punten_forfait],10)</f>
        <v>0</v>
      </c>
      <c r="G59" s="91">
        <f>SUMIFS(Tabel_VAS2023[aantal_VAS],Tabel_VAS2023[Zaakcode],Tabel_prc_2023[[#This Row],[Zaakcode]],Tabel_VAS2023[Adviesofprocedure],"prc",Tabel_VAS2023[code_punten_forfait],11)</f>
        <v>0</v>
      </c>
      <c r="H59" s="92">
        <f>SUMIFS(Tabel_VAS2023[aantal_VAS],Tabel_VAS2023[Zaakcode],Tabel_prc_2023[[#This Row],[Zaakcode]],Tabel_VAS2023[Adviesofprocedure],"prc",Tabel_VAS2023[code_punten_forfait],13)</f>
        <v>0</v>
      </c>
      <c r="I59" s="92">
        <f>SUMIFS(Tabel_VAS2023[aantal_VAS],Tabel_VAS2023[Zaakcode],Tabel_prc_2023[[#This Row],[Zaakcode]],Tabel_VAS2023[Adviesofprocedure],"prc",Tabel_VAS2023[code_punten_forfait],14)</f>
        <v>0</v>
      </c>
      <c r="J59" s="91">
        <f>SUMIFS(Tabel_VAS2023[aantal_VAS],Tabel_VAS2023[Zaakcode],Tabel_prc_2023[[#This Row],[Zaakcode]],Tabel_VAS2023[Adviesofprocedure],"prc",Tabel_VAS2023[code_punten_forfait],12)</f>
        <v>0</v>
      </c>
      <c r="K59" s="92">
        <f>SUMIFS(Tabel_VAS2023[aantal_VAS],Tabel_VAS2023[Zaakcode],Tabel_prc_2023[[#This Row],[Zaakcode]],Tabel_VAS2023[Adviesofprocedure],"prc",Tabel_VAS2023[code_punten_forfait],15)</f>
        <v>0</v>
      </c>
      <c r="L59" s="92">
        <f>SUMIFS(Tabel_VAS2023[aantal_VAS],Tabel_VAS2023[Zaakcode],Tabel_prc_2023[[#This Row],[Zaakcode]],Tabel_VAS2023[Adviesofprocedure],"prc",Tabel_VAS2023[code_punten_forfait],16)</f>
        <v>0</v>
      </c>
      <c r="M59" s="35" t="str">
        <f>IFERROR(INDEX(Tabel_forfaits[forfait vanaf 2022],MATCH(Tabel_prc_2023[[#This Row],[Zaakcode]],Tabel_forfaits[Zaakcode],0)), "n.v.t.")</f>
        <v>n.v.t.</v>
      </c>
      <c r="N59" s="35" t="str">
        <f>IFERROR(INDEX(Tabel_forfaits[forfait VdM II voor berekening],MATCH(Tabel_prc_2023[[#This Row],[Zaakcode]],Tabel_forfaits[Zaakcode],0)), "n.v.t.")</f>
        <v>n.v.t.</v>
      </c>
      <c r="O59" s="36"/>
      <c r="P5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5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5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59" s="35">
        <f>IF(Tabel_prc_2023[[#This Row],[procedure - forfait VdM II]]="n.v.t.",0,  Tabel_prc_2023[[#This Row],[procedure - aantal 0 punten]] * (Tabel_prc_2023[[#This Row],[procedure - forfait VdM II]] - Tabel_prc_2023[[#This Row],[procedure - forfait VdM I]]))</f>
        <v>0</v>
      </c>
      <c r="T5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5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59" s="109">
        <f>Tabel_prc_2023[[#This Row],[procedure - totaal extra punten toev. VdM II t.o.v. huidig]] * tarief_huidig</f>
        <v>0</v>
      </c>
    </row>
    <row r="60" spans="1:22" x14ac:dyDescent="0.3">
      <c r="A60"/>
      <c r="B60" s="1" t="s">
        <v>54</v>
      </c>
      <c r="C60" s="34" t="s">
        <v>5</v>
      </c>
      <c r="D6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1039</v>
      </c>
      <c r="E6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15500.3</v>
      </c>
      <c r="F60" s="91">
        <f>SUMIFS(Tabel_VAS2023[aantal_VAS],Tabel_VAS2023[Zaakcode],Tabel_prc_2023[[#This Row],[Zaakcode]],Tabel_VAS2023[Adviesofprocedure],"prc",Tabel_VAS2023[code_punten_forfait],10)</f>
        <v>27</v>
      </c>
      <c r="G60" s="91">
        <f>SUMIFS(Tabel_VAS2023[aantal_VAS],Tabel_VAS2023[Zaakcode],Tabel_prc_2023[[#This Row],[Zaakcode]],Tabel_VAS2023[Adviesofprocedure],"prc",Tabel_VAS2023[code_punten_forfait],11)</f>
        <v>253</v>
      </c>
      <c r="H60" s="92">
        <f>SUMIFS(Tabel_VAS2023[aantal_VAS],Tabel_VAS2023[Zaakcode],Tabel_prc_2023[[#This Row],[Zaakcode]],Tabel_VAS2023[Adviesofprocedure],"prc",Tabel_VAS2023[code_punten_forfait],13)</f>
        <v>43</v>
      </c>
      <c r="I60" s="92">
        <f>SUMIFS(Tabel_VAS2023[aantal_VAS],Tabel_VAS2023[Zaakcode],Tabel_prc_2023[[#This Row],[Zaakcode]],Tabel_VAS2023[Adviesofprocedure],"prc",Tabel_VAS2023[code_punten_forfait],14)</f>
        <v>5</v>
      </c>
      <c r="J60" s="91">
        <f>SUMIFS(Tabel_VAS2023[aantal_VAS],Tabel_VAS2023[Zaakcode],Tabel_prc_2023[[#This Row],[Zaakcode]],Tabel_VAS2023[Adviesofprocedure],"prc",Tabel_VAS2023[code_punten_forfait],12)</f>
        <v>587</v>
      </c>
      <c r="K60" s="92">
        <f>SUMIFS(Tabel_VAS2023[aantal_VAS],Tabel_VAS2023[Zaakcode],Tabel_prc_2023[[#This Row],[Zaakcode]],Tabel_VAS2023[Adviesofprocedure],"prc",Tabel_VAS2023[code_punten_forfait],15)</f>
        <v>116</v>
      </c>
      <c r="L60" s="92">
        <f>SUMIFS(Tabel_VAS2023[aantal_VAS],Tabel_VAS2023[Zaakcode],Tabel_prc_2023[[#This Row],[Zaakcode]],Tabel_VAS2023[Adviesofprocedure],"prc",Tabel_VAS2023[code_punten_forfait],16)</f>
        <v>8</v>
      </c>
      <c r="M60" s="35">
        <f>IFERROR(INDEX(Tabel_forfaits[forfait vanaf 2022],MATCH(Tabel_prc_2023[[#This Row],[Zaakcode]],Tabel_forfaits[Zaakcode],0)), "n.v.t.")</f>
        <v>19</v>
      </c>
      <c r="N60" s="35">
        <f>IFERROR(INDEX(Tabel_forfaits[forfait VdM II voor berekening],MATCH(Tabel_prc_2023[[#This Row],[Zaakcode]],Tabel_forfaits[Zaakcode],0)), "n.v.t.")</f>
        <v>19</v>
      </c>
      <c r="O60" s="36"/>
      <c r="P6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6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6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60" s="35">
        <f>IF(Tabel_prc_2023[[#This Row],[procedure - forfait VdM II]]="n.v.t.",0,  Tabel_prc_2023[[#This Row],[procedure - aantal 0 punten]] * (Tabel_prc_2023[[#This Row],[procedure - forfait VdM II]] - Tabel_prc_2023[[#This Row],[procedure - forfait VdM I]]))</f>
        <v>0</v>
      </c>
      <c r="T6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1012</v>
      </c>
      <c r="U6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60" s="109">
        <f>Tabel_prc_2023[[#This Row],[procedure - totaal extra punten toev. VdM II t.o.v. huidig]] * tarief_huidig</f>
        <v>0</v>
      </c>
    </row>
    <row r="61" spans="1:22" x14ac:dyDescent="0.3">
      <c r="A61"/>
      <c r="B61" s="1" t="s">
        <v>55</v>
      </c>
      <c r="C61" s="34" t="s">
        <v>5</v>
      </c>
      <c r="D6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191</v>
      </c>
      <c r="E6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2062</v>
      </c>
      <c r="F61" s="91">
        <f>SUMIFS(Tabel_VAS2023[aantal_VAS],Tabel_VAS2023[Zaakcode],Tabel_prc_2023[[#This Row],[Zaakcode]],Tabel_VAS2023[Adviesofprocedure],"prc",Tabel_VAS2023[code_punten_forfait],10)</f>
        <v>0</v>
      </c>
      <c r="G61" s="91">
        <f>SUMIFS(Tabel_VAS2023[aantal_VAS],Tabel_VAS2023[Zaakcode],Tabel_prc_2023[[#This Row],[Zaakcode]],Tabel_VAS2023[Adviesofprocedure],"prc",Tabel_VAS2023[code_punten_forfait],11)</f>
        <v>20</v>
      </c>
      <c r="H61" s="92">
        <f>SUMIFS(Tabel_VAS2023[aantal_VAS],Tabel_VAS2023[Zaakcode],Tabel_prc_2023[[#This Row],[Zaakcode]],Tabel_VAS2023[Adviesofprocedure],"prc",Tabel_VAS2023[code_punten_forfait],13)</f>
        <v>0</v>
      </c>
      <c r="I61" s="92">
        <f>SUMIFS(Tabel_VAS2023[aantal_VAS],Tabel_VAS2023[Zaakcode],Tabel_prc_2023[[#This Row],[Zaakcode]],Tabel_VAS2023[Adviesofprocedure],"prc",Tabel_VAS2023[code_punten_forfait],14)</f>
        <v>0</v>
      </c>
      <c r="J61" s="91">
        <f>SUMIFS(Tabel_VAS2023[aantal_VAS],Tabel_VAS2023[Zaakcode],Tabel_prc_2023[[#This Row],[Zaakcode]],Tabel_VAS2023[Adviesofprocedure],"prc",Tabel_VAS2023[code_punten_forfait],12)</f>
        <v>156</v>
      </c>
      <c r="K61" s="92">
        <f>SUMIFS(Tabel_VAS2023[aantal_VAS],Tabel_VAS2023[Zaakcode],Tabel_prc_2023[[#This Row],[Zaakcode]],Tabel_VAS2023[Adviesofprocedure],"prc",Tabel_VAS2023[code_punten_forfait],15)</f>
        <v>14</v>
      </c>
      <c r="L61" s="92">
        <f>SUMIFS(Tabel_VAS2023[aantal_VAS],Tabel_VAS2023[Zaakcode],Tabel_prc_2023[[#This Row],[Zaakcode]],Tabel_VAS2023[Adviesofprocedure],"prc",Tabel_VAS2023[code_punten_forfait],16)</f>
        <v>1</v>
      </c>
      <c r="M61" s="35">
        <f>IFERROR(INDEX(Tabel_forfaits[forfait vanaf 2022],MATCH(Tabel_prc_2023[[#This Row],[Zaakcode]],Tabel_forfaits[Zaakcode],0)), "n.v.t.")</f>
        <v>11</v>
      </c>
      <c r="N61" s="35">
        <f>IFERROR(INDEX(Tabel_forfaits[forfait VdM II voor berekening],MATCH(Tabel_prc_2023[[#This Row],[Zaakcode]],Tabel_forfaits[Zaakcode],0)), "n.v.t.")</f>
        <v>15</v>
      </c>
      <c r="O61" s="36"/>
      <c r="P6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704</v>
      </c>
      <c r="Q6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56</v>
      </c>
      <c r="R6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v>
      </c>
      <c r="S61" s="35">
        <f>IF(Tabel_prc_2023[[#This Row],[procedure - forfait VdM II]]="n.v.t.",0,  Tabel_prc_2023[[#This Row],[procedure - aantal 0 punten]] * (Tabel_prc_2023[[#This Row],[procedure - forfait VdM II]] - Tabel_prc_2023[[#This Row],[procedure - forfait VdM I]]))</f>
        <v>0</v>
      </c>
      <c r="T6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191</v>
      </c>
      <c r="U6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766</v>
      </c>
      <c r="V61" s="109">
        <f>Tabel_prc_2023[[#This Row],[procedure - totaal extra punten toev. VdM II t.o.v. huidig]] * tarief_huidig</f>
        <v>117294.13299999999</v>
      </c>
    </row>
    <row r="62" spans="1:22" x14ac:dyDescent="0.3">
      <c r="A62"/>
      <c r="B62" s="1" t="s">
        <v>56</v>
      </c>
      <c r="C62" s="34" t="s">
        <v>5</v>
      </c>
      <c r="D6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156</v>
      </c>
      <c r="E6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2026.4</v>
      </c>
      <c r="F62" s="91">
        <f>SUMIFS(Tabel_VAS2023[aantal_VAS],Tabel_VAS2023[Zaakcode],Tabel_prc_2023[[#This Row],[Zaakcode]],Tabel_VAS2023[Adviesofprocedure],"prc",Tabel_VAS2023[code_punten_forfait],10)</f>
        <v>0</v>
      </c>
      <c r="G62" s="91">
        <f>SUMIFS(Tabel_VAS2023[aantal_VAS],Tabel_VAS2023[Zaakcode],Tabel_prc_2023[[#This Row],[Zaakcode]],Tabel_VAS2023[Adviesofprocedure],"prc",Tabel_VAS2023[code_punten_forfait],11)</f>
        <v>34</v>
      </c>
      <c r="H62" s="92">
        <f>SUMIFS(Tabel_VAS2023[aantal_VAS],Tabel_VAS2023[Zaakcode],Tabel_prc_2023[[#This Row],[Zaakcode]],Tabel_VAS2023[Adviesofprocedure],"prc",Tabel_VAS2023[code_punten_forfait],13)</f>
        <v>0</v>
      </c>
      <c r="I62" s="92">
        <f>SUMIFS(Tabel_VAS2023[aantal_VAS],Tabel_VAS2023[Zaakcode],Tabel_prc_2023[[#This Row],[Zaakcode]],Tabel_VAS2023[Adviesofprocedure],"prc",Tabel_VAS2023[code_punten_forfait],14)</f>
        <v>0</v>
      </c>
      <c r="J62" s="91">
        <f>SUMIFS(Tabel_VAS2023[aantal_VAS],Tabel_VAS2023[Zaakcode],Tabel_prc_2023[[#This Row],[Zaakcode]],Tabel_VAS2023[Adviesofprocedure],"prc",Tabel_VAS2023[code_punten_forfait],12)</f>
        <v>94</v>
      </c>
      <c r="K62" s="92">
        <f>SUMIFS(Tabel_VAS2023[aantal_VAS],Tabel_VAS2023[Zaakcode],Tabel_prc_2023[[#This Row],[Zaakcode]],Tabel_VAS2023[Adviesofprocedure],"prc",Tabel_VAS2023[code_punten_forfait],15)</f>
        <v>26</v>
      </c>
      <c r="L62" s="92">
        <f>SUMIFS(Tabel_VAS2023[aantal_VAS],Tabel_VAS2023[Zaakcode],Tabel_prc_2023[[#This Row],[Zaakcode]],Tabel_VAS2023[Adviesofprocedure],"prc",Tabel_VAS2023[code_punten_forfait],16)</f>
        <v>2</v>
      </c>
      <c r="M62" s="35">
        <f>IFERROR(INDEX(Tabel_forfaits[forfait vanaf 2022],MATCH(Tabel_prc_2023[[#This Row],[Zaakcode]],Tabel_forfaits[Zaakcode],0)), "n.v.t.")</f>
        <v>16</v>
      </c>
      <c r="N62" s="35">
        <f>IFERROR(INDEX(Tabel_forfaits[forfait VdM II voor berekening],MATCH(Tabel_prc_2023[[#This Row],[Zaakcode]],Tabel_forfaits[Zaakcode],0)), "n.v.t.")</f>
        <v>16</v>
      </c>
      <c r="O62" s="36"/>
      <c r="P6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6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6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62" s="35">
        <f>IF(Tabel_prc_2023[[#This Row],[procedure - forfait VdM II]]="n.v.t.",0,  Tabel_prc_2023[[#This Row],[procedure - aantal 0 punten]] * (Tabel_prc_2023[[#This Row],[procedure - forfait VdM II]] - Tabel_prc_2023[[#This Row],[procedure - forfait VdM I]]))</f>
        <v>0</v>
      </c>
      <c r="T6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156</v>
      </c>
      <c r="U6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62" s="109">
        <f>Tabel_prc_2023[[#This Row],[procedure - totaal extra punten toev. VdM II t.o.v. huidig]] * tarief_huidig</f>
        <v>0</v>
      </c>
    </row>
    <row r="63" spans="1:22" x14ac:dyDescent="0.3">
      <c r="A63"/>
      <c r="B63" s="1" t="s">
        <v>57</v>
      </c>
      <c r="C63" s="34" t="s">
        <v>5</v>
      </c>
      <c r="D6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3815</v>
      </c>
      <c r="E6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53562.899999999994</v>
      </c>
      <c r="F63" s="91">
        <f>SUMIFS(Tabel_VAS2023[aantal_VAS],Tabel_VAS2023[Zaakcode],Tabel_prc_2023[[#This Row],[Zaakcode]],Tabel_VAS2023[Adviesofprocedure],"prc",Tabel_VAS2023[code_punten_forfait],10)</f>
        <v>24</v>
      </c>
      <c r="G63" s="91">
        <f>SUMIFS(Tabel_VAS2023[aantal_VAS],Tabel_VAS2023[Zaakcode],Tabel_prc_2023[[#This Row],[Zaakcode]],Tabel_VAS2023[Adviesofprocedure],"prc",Tabel_VAS2023[code_punten_forfait],11)</f>
        <v>590</v>
      </c>
      <c r="H63" s="92">
        <f>SUMIFS(Tabel_VAS2023[aantal_VAS],Tabel_VAS2023[Zaakcode],Tabel_prc_2023[[#This Row],[Zaakcode]],Tabel_VAS2023[Adviesofprocedure],"prc",Tabel_VAS2023[code_punten_forfait],13)</f>
        <v>99</v>
      </c>
      <c r="I63" s="92">
        <f>SUMIFS(Tabel_VAS2023[aantal_VAS],Tabel_VAS2023[Zaakcode],Tabel_prc_2023[[#This Row],[Zaakcode]],Tabel_VAS2023[Adviesofprocedure],"prc",Tabel_VAS2023[code_punten_forfait],14)</f>
        <v>62</v>
      </c>
      <c r="J63" s="91">
        <f>SUMIFS(Tabel_VAS2023[aantal_VAS],Tabel_VAS2023[Zaakcode],Tabel_prc_2023[[#This Row],[Zaakcode]],Tabel_VAS2023[Adviesofprocedure],"prc",Tabel_VAS2023[code_punten_forfait],12)</f>
        <v>2661</v>
      </c>
      <c r="K63" s="92">
        <f>SUMIFS(Tabel_VAS2023[aantal_VAS],Tabel_VAS2023[Zaakcode],Tabel_prc_2023[[#This Row],[Zaakcode]],Tabel_VAS2023[Adviesofprocedure],"prc",Tabel_VAS2023[code_punten_forfait],15)</f>
        <v>258</v>
      </c>
      <c r="L63" s="92">
        <f>SUMIFS(Tabel_VAS2023[aantal_VAS],Tabel_VAS2023[Zaakcode],Tabel_prc_2023[[#This Row],[Zaakcode]],Tabel_VAS2023[Adviesofprocedure],"prc",Tabel_VAS2023[code_punten_forfait],16)</f>
        <v>121</v>
      </c>
      <c r="M63" s="35">
        <f>IFERROR(INDEX(Tabel_forfaits[forfait vanaf 2022],MATCH(Tabel_prc_2023[[#This Row],[Zaakcode]],Tabel_forfaits[Zaakcode],0)), "n.v.t.")</f>
        <v>15</v>
      </c>
      <c r="N63" s="35">
        <f>IFERROR(INDEX(Tabel_forfaits[forfait VdM II voor berekening],MATCH(Tabel_prc_2023[[#This Row],[Zaakcode]],Tabel_forfaits[Zaakcode],0)), "n.v.t.")</f>
        <v>14</v>
      </c>
      <c r="O63" s="36"/>
      <c r="P6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-3251</v>
      </c>
      <c r="Q6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-357</v>
      </c>
      <c r="R6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-274.5</v>
      </c>
      <c r="S63" s="35">
        <f>IF(Tabel_prc_2023[[#This Row],[procedure - forfait VdM II]]="n.v.t.",0,  Tabel_prc_2023[[#This Row],[procedure - aantal 0 punten]] * (Tabel_prc_2023[[#This Row],[procedure - forfait VdM II]] - Tabel_prc_2023[[#This Row],[procedure - forfait VdM I]]))</f>
        <v>-24</v>
      </c>
      <c r="T6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3791</v>
      </c>
      <c r="U6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-3882.5</v>
      </c>
      <c r="V63" s="109">
        <f>Tabel_prc_2023[[#This Row],[procedure - totaal extra punten toev. VdM II t.o.v. huidig]] * tarief_huidig</f>
        <v>-594509.75374999992</v>
      </c>
    </row>
    <row r="64" spans="1:22" x14ac:dyDescent="0.3">
      <c r="A64"/>
      <c r="B64" s="1" t="s">
        <v>58</v>
      </c>
      <c r="C64" s="34" t="s">
        <v>5</v>
      </c>
      <c r="D6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225</v>
      </c>
      <c r="E6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3245.6</v>
      </c>
      <c r="F64" s="91">
        <f>SUMIFS(Tabel_VAS2023[aantal_VAS],Tabel_VAS2023[Zaakcode],Tabel_prc_2023[[#This Row],[Zaakcode]],Tabel_VAS2023[Adviesofprocedure],"prc",Tabel_VAS2023[code_punten_forfait],10)</f>
        <v>1</v>
      </c>
      <c r="G64" s="91">
        <f>SUMIFS(Tabel_VAS2023[aantal_VAS],Tabel_VAS2023[Zaakcode],Tabel_prc_2023[[#This Row],[Zaakcode]],Tabel_VAS2023[Adviesofprocedure],"prc",Tabel_VAS2023[code_punten_forfait],11)</f>
        <v>73</v>
      </c>
      <c r="H64" s="92">
        <f>SUMIFS(Tabel_VAS2023[aantal_VAS],Tabel_VAS2023[Zaakcode],Tabel_prc_2023[[#This Row],[Zaakcode]],Tabel_VAS2023[Adviesofprocedure],"prc",Tabel_VAS2023[code_punten_forfait],13)</f>
        <v>2</v>
      </c>
      <c r="I64" s="92">
        <f>SUMIFS(Tabel_VAS2023[aantal_VAS],Tabel_VAS2023[Zaakcode],Tabel_prc_2023[[#This Row],[Zaakcode]],Tabel_VAS2023[Adviesofprocedure],"prc",Tabel_VAS2023[code_punten_forfait],14)</f>
        <v>2</v>
      </c>
      <c r="J64" s="91">
        <f>SUMIFS(Tabel_VAS2023[aantal_VAS],Tabel_VAS2023[Zaakcode],Tabel_prc_2023[[#This Row],[Zaakcode]],Tabel_VAS2023[Adviesofprocedure],"prc",Tabel_VAS2023[code_punten_forfait],12)</f>
        <v>137</v>
      </c>
      <c r="K64" s="92">
        <f>SUMIFS(Tabel_VAS2023[aantal_VAS],Tabel_VAS2023[Zaakcode],Tabel_prc_2023[[#This Row],[Zaakcode]],Tabel_VAS2023[Adviesofprocedure],"prc",Tabel_VAS2023[code_punten_forfait],15)</f>
        <v>10</v>
      </c>
      <c r="L64" s="92">
        <f>SUMIFS(Tabel_VAS2023[aantal_VAS],Tabel_VAS2023[Zaakcode],Tabel_prc_2023[[#This Row],[Zaakcode]],Tabel_VAS2023[Adviesofprocedure],"prc",Tabel_VAS2023[code_punten_forfait],16)</f>
        <v>0</v>
      </c>
      <c r="M64" s="35">
        <f>IFERROR(INDEX(Tabel_forfaits[forfait vanaf 2022],MATCH(Tabel_prc_2023[[#This Row],[Zaakcode]],Tabel_forfaits[Zaakcode],0)), "n.v.t.")</f>
        <v>17</v>
      </c>
      <c r="N64" s="35">
        <f>IFERROR(INDEX(Tabel_forfaits[forfait VdM II voor berekening],MATCH(Tabel_prc_2023[[#This Row],[Zaakcode]],Tabel_forfaits[Zaakcode],0)), "n.v.t.")</f>
        <v>19</v>
      </c>
      <c r="O64" s="36"/>
      <c r="P6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420</v>
      </c>
      <c r="Q6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24</v>
      </c>
      <c r="R6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v>
      </c>
      <c r="S64" s="35">
        <f>IF(Tabel_prc_2023[[#This Row],[procedure - forfait VdM II]]="n.v.t.",0,  Tabel_prc_2023[[#This Row],[procedure - aantal 0 punten]] * (Tabel_prc_2023[[#This Row],[procedure - forfait VdM II]] - Tabel_prc_2023[[#This Row],[procedure - forfait VdM I]]))</f>
        <v>2</v>
      </c>
      <c r="T6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224</v>
      </c>
      <c r="U6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450</v>
      </c>
      <c r="V64" s="109">
        <f>Tabel_prc_2023[[#This Row],[procedure - totaal extra punten toev. VdM II t.o.v. huidig]] * tarief_huidig</f>
        <v>68906.474999999991</v>
      </c>
    </row>
    <row r="65" spans="1:22" x14ac:dyDescent="0.3">
      <c r="A65"/>
      <c r="B65" s="1" t="s">
        <v>59</v>
      </c>
      <c r="C65" s="34" t="s">
        <v>5</v>
      </c>
      <c r="D6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1749</v>
      </c>
      <c r="E6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24906.3</v>
      </c>
      <c r="F65" s="91">
        <f>SUMIFS(Tabel_VAS2023[aantal_VAS],Tabel_VAS2023[Zaakcode],Tabel_prc_2023[[#This Row],[Zaakcode]],Tabel_VAS2023[Adviesofprocedure],"prc",Tabel_VAS2023[code_punten_forfait],10)</f>
        <v>2</v>
      </c>
      <c r="G65" s="91">
        <f>SUMIFS(Tabel_VAS2023[aantal_VAS],Tabel_VAS2023[Zaakcode],Tabel_prc_2023[[#This Row],[Zaakcode]],Tabel_VAS2023[Adviesofprocedure],"prc",Tabel_VAS2023[code_punten_forfait],11)</f>
        <v>443</v>
      </c>
      <c r="H65" s="92">
        <f>SUMIFS(Tabel_VAS2023[aantal_VAS],Tabel_VAS2023[Zaakcode],Tabel_prc_2023[[#This Row],[Zaakcode]],Tabel_VAS2023[Adviesofprocedure],"prc",Tabel_VAS2023[code_punten_forfait],13)</f>
        <v>28</v>
      </c>
      <c r="I65" s="92">
        <f>SUMIFS(Tabel_VAS2023[aantal_VAS],Tabel_VAS2023[Zaakcode],Tabel_prc_2023[[#This Row],[Zaakcode]],Tabel_VAS2023[Adviesofprocedure],"prc",Tabel_VAS2023[code_punten_forfait],14)</f>
        <v>9</v>
      </c>
      <c r="J65" s="91">
        <f>SUMIFS(Tabel_VAS2023[aantal_VAS],Tabel_VAS2023[Zaakcode],Tabel_prc_2023[[#This Row],[Zaakcode]],Tabel_VAS2023[Adviesofprocedure],"prc",Tabel_VAS2023[code_punten_forfait],12)</f>
        <v>1200</v>
      </c>
      <c r="K65" s="92">
        <f>SUMIFS(Tabel_VAS2023[aantal_VAS],Tabel_VAS2023[Zaakcode],Tabel_prc_2023[[#This Row],[Zaakcode]],Tabel_VAS2023[Adviesofprocedure],"prc",Tabel_VAS2023[code_punten_forfait],15)</f>
        <v>64</v>
      </c>
      <c r="L65" s="92">
        <f>SUMIFS(Tabel_VAS2023[aantal_VAS],Tabel_VAS2023[Zaakcode],Tabel_prc_2023[[#This Row],[Zaakcode]],Tabel_VAS2023[Adviesofprocedure],"prc",Tabel_VAS2023[code_punten_forfait],16)</f>
        <v>3</v>
      </c>
      <c r="M65" s="35">
        <f>IFERROR(INDEX(Tabel_forfaits[forfait vanaf 2022],MATCH(Tabel_prc_2023[[#This Row],[Zaakcode]],Tabel_forfaits[Zaakcode],0)), "n.v.t.")</f>
        <v>16</v>
      </c>
      <c r="N65" s="35">
        <f>IFERROR(INDEX(Tabel_forfaits[forfait VdM II voor berekening],MATCH(Tabel_prc_2023[[#This Row],[Zaakcode]],Tabel_forfaits[Zaakcode],0)), "n.v.t.")</f>
        <v>19</v>
      </c>
      <c r="O65" s="36"/>
      <c r="P6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4929</v>
      </c>
      <c r="Q6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276</v>
      </c>
      <c r="R6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54</v>
      </c>
      <c r="S65" s="35">
        <f>IF(Tabel_prc_2023[[#This Row],[procedure - forfait VdM II]]="n.v.t.",0,  Tabel_prc_2023[[#This Row],[procedure - aantal 0 punten]] * (Tabel_prc_2023[[#This Row],[procedure - forfait VdM II]] - Tabel_prc_2023[[#This Row],[procedure - forfait VdM I]]))</f>
        <v>6</v>
      </c>
      <c r="T6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1747</v>
      </c>
      <c r="U6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5259</v>
      </c>
      <c r="V65" s="109">
        <f>Tabel_prc_2023[[#This Row],[procedure - totaal extra punten toev. VdM II t.o.v. huidig]] * tarief_huidig</f>
        <v>805287.00449999992</v>
      </c>
    </row>
    <row r="66" spans="1:22" x14ac:dyDescent="0.3">
      <c r="A66"/>
      <c r="B66" s="1" t="s">
        <v>60</v>
      </c>
      <c r="C66" s="34" t="s">
        <v>5</v>
      </c>
      <c r="D6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1495</v>
      </c>
      <c r="E6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5075.8999999999996</v>
      </c>
      <c r="F66" s="91">
        <f>SUMIFS(Tabel_VAS2023[aantal_VAS],Tabel_VAS2023[Zaakcode],Tabel_prc_2023[[#This Row],[Zaakcode]],Tabel_VAS2023[Adviesofprocedure],"prc",Tabel_VAS2023[code_punten_forfait],10)</f>
        <v>1</v>
      </c>
      <c r="G66" s="91">
        <f>SUMIFS(Tabel_VAS2023[aantal_VAS],Tabel_VAS2023[Zaakcode],Tabel_prc_2023[[#This Row],[Zaakcode]],Tabel_VAS2023[Adviesofprocedure],"prc",Tabel_VAS2023[code_punten_forfait],11)</f>
        <v>34</v>
      </c>
      <c r="H66" s="92">
        <f>SUMIFS(Tabel_VAS2023[aantal_VAS],Tabel_VAS2023[Zaakcode],Tabel_prc_2023[[#This Row],[Zaakcode]],Tabel_VAS2023[Adviesofprocedure],"prc",Tabel_VAS2023[code_punten_forfait],13)</f>
        <v>16</v>
      </c>
      <c r="I66" s="92">
        <f>SUMIFS(Tabel_VAS2023[aantal_VAS],Tabel_VAS2023[Zaakcode],Tabel_prc_2023[[#This Row],[Zaakcode]],Tabel_VAS2023[Adviesofprocedure],"prc",Tabel_VAS2023[code_punten_forfait],14)</f>
        <v>0</v>
      </c>
      <c r="J66" s="91">
        <f>SUMIFS(Tabel_VAS2023[aantal_VAS],Tabel_VAS2023[Zaakcode],Tabel_prc_2023[[#This Row],[Zaakcode]],Tabel_VAS2023[Adviesofprocedure],"prc",Tabel_VAS2023[code_punten_forfait],12)</f>
        <v>309</v>
      </c>
      <c r="K66" s="92">
        <f>SUMIFS(Tabel_VAS2023[aantal_VAS],Tabel_VAS2023[Zaakcode],Tabel_prc_2023[[#This Row],[Zaakcode]],Tabel_VAS2023[Adviesofprocedure],"prc",Tabel_VAS2023[code_punten_forfait],15)</f>
        <v>1103</v>
      </c>
      <c r="L66" s="92">
        <f>SUMIFS(Tabel_VAS2023[aantal_VAS],Tabel_VAS2023[Zaakcode],Tabel_prc_2023[[#This Row],[Zaakcode]],Tabel_VAS2023[Adviesofprocedure],"prc",Tabel_VAS2023[code_punten_forfait],16)</f>
        <v>32</v>
      </c>
      <c r="M66" s="35">
        <f>IFERROR(INDEX(Tabel_forfaits[forfait vanaf 2022],MATCH(Tabel_prc_2023[[#This Row],[Zaakcode]],Tabel_forfaits[Zaakcode],0)), "n.v.t.")</f>
        <v>11</v>
      </c>
      <c r="N66" s="35">
        <f>IFERROR(INDEX(Tabel_forfaits[forfait VdM II voor berekening],MATCH(Tabel_prc_2023[[#This Row],[Zaakcode]],Tabel_forfaits[Zaakcode],0)), "n.v.t.")</f>
        <v>13</v>
      </c>
      <c r="O66" s="36"/>
      <c r="P6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686</v>
      </c>
      <c r="Q6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2238</v>
      </c>
      <c r="R6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96</v>
      </c>
      <c r="S66" s="35">
        <f>IF(Tabel_prc_2023[[#This Row],[procedure - forfait VdM II]]="n.v.t.",0,  Tabel_prc_2023[[#This Row],[procedure - aantal 0 punten]] * (Tabel_prc_2023[[#This Row],[procedure - forfait VdM II]] - Tabel_prc_2023[[#This Row],[procedure - forfait VdM I]]))</f>
        <v>2</v>
      </c>
      <c r="T6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1494</v>
      </c>
      <c r="U6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3020</v>
      </c>
      <c r="V66" s="109">
        <f>Tabel_prc_2023[[#This Row],[procedure - totaal extra punten toev. VdM II t.o.v. huidig]] * tarief_huidig</f>
        <v>462439.00999999995</v>
      </c>
    </row>
    <row r="67" spans="1:22" x14ac:dyDescent="0.3">
      <c r="A67"/>
      <c r="B67" s="1" t="s">
        <v>61</v>
      </c>
      <c r="C67" s="34" t="s">
        <v>5</v>
      </c>
      <c r="D6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73</v>
      </c>
      <c r="E6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1009.4</v>
      </c>
      <c r="F67" s="91">
        <f>SUMIFS(Tabel_VAS2023[aantal_VAS],Tabel_VAS2023[Zaakcode],Tabel_prc_2023[[#This Row],[Zaakcode]],Tabel_VAS2023[Adviesofprocedure],"prc",Tabel_VAS2023[code_punten_forfait],10)</f>
        <v>0</v>
      </c>
      <c r="G67" s="91">
        <f>SUMIFS(Tabel_VAS2023[aantal_VAS],Tabel_VAS2023[Zaakcode],Tabel_prc_2023[[#This Row],[Zaakcode]],Tabel_VAS2023[Adviesofprocedure],"prc",Tabel_VAS2023[code_punten_forfait],11)</f>
        <v>21</v>
      </c>
      <c r="H67" s="92">
        <f>SUMIFS(Tabel_VAS2023[aantal_VAS],Tabel_VAS2023[Zaakcode],Tabel_prc_2023[[#This Row],[Zaakcode]],Tabel_VAS2023[Adviesofprocedure],"prc",Tabel_VAS2023[code_punten_forfait],13)</f>
        <v>1</v>
      </c>
      <c r="I67" s="92">
        <f>SUMIFS(Tabel_VAS2023[aantal_VAS],Tabel_VAS2023[Zaakcode],Tabel_prc_2023[[#This Row],[Zaakcode]],Tabel_VAS2023[Adviesofprocedure],"prc",Tabel_VAS2023[code_punten_forfait],14)</f>
        <v>1</v>
      </c>
      <c r="J67" s="91">
        <f>SUMIFS(Tabel_VAS2023[aantal_VAS],Tabel_VAS2023[Zaakcode],Tabel_prc_2023[[#This Row],[Zaakcode]],Tabel_VAS2023[Adviesofprocedure],"prc",Tabel_VAS2023[code_punten_forfait],12)</f>
        <v>41</v>
      </c>
      <c r="K67" s="92">
        <f>SUMIFS(Tabel_VAS2023[aantal_VAS],Tabel_VAS2023[Zaakcode],Tabel_prc_2023[[#This Row],[Zaakcode]],Tabel_VAS2023[Adviesofprocedure],"prc",Tabel_VAS2023[code_punten_forfait],15)</f>
        <v>9</v>
      </c>
      <c r="L67" s="92">
        <f>SUMIFS(Tabel_VAS2023[aantal_VAS],Tabel_VAS2023[Zaakcode],Tabel_prc_2023[[#This Row],[Zaakcode]],Tabel_VAS2023[Adviesofprocedure],"prc",Tabel_VAS2023[code_punten_forfait],16)</f>
        <v>0</v>
      </c>
      <c r="M67" s="35">
        <f>IFERROR(INDEX(Tabel_forfaits[forfait vanaf 2022],MATCH(Tabel_prc_2023[[#This Row],[Zaakcode]],Tabel_forfaits[Zaakcode],0)), "n.v.t.")</f>
        <v>18</v>
      </c>
      <c r="N67" s="35">
        <f>IFERROR(INDEX(Tabel_forfaits[forfait VdM II voor berekening],MATCH(Tabel_prc_2023[[#This Row],[Zaakcode]],Tabel_forfaits[Zaakcode],0)), "n.v.t.")</f>
        <v>18</v>
      </c>
      <c r="O67" s="36"/>
      <c r="P6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6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6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67" s="35">
        <f>IF(Tabel_prc_2023[[#This Row],[procedure - forfait VdM II]]="n.v.t.",0,  Tabel_prc_2023[[#This Row],[procedure - aantal 0 punten]] * (Tabel_prc_2023[[#This Row],[procedure - forfait VdM II]] - Tabel_prc_2023[[#This Row],[procedure - forfait VdM I]]))</f>
        <v>0</v>
      </c>
      <c r="T6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73</v>
      </c>
      <c r="U6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67" s="109">
        <f>Tabel_prc_2023[[#This Row],[procedure - totaal extra punten toev. VdM II t.o.v. huidig]] * tarief_huidig</f>
        <v>0</v>
      </c>
    </row>
    <row r="68" spans="1:22" x14ac:dyDescent="0.3">
      <c r="A68"/>
      <c r="B68" s="1" t="s">
        <v>62</v>
      </c>
      <c r="C68" s="34" t="s">
        <v>5</v>
      </c>
      <c r="D6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v>
      </c>
      <c r="E6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22</v>
      </c>
      <c r="F68" s="91">
        <f>SUMIFS(Tabel_VAS2023[aantal_VAS],Tabel_VAS2023[Zaakcode],Tabel_prc_2023[[#This Row],[Zaakcode]],Tabel_VAS2023[Adviesofprocedure],"prc",Tabel_VAS2023[code_punten_forfait],10)</f>
        <v>0</v>
      </c>
      <c r="G68" s="91">
        <f>SUMIFS(Tabel_VAS2023[aantal_VAS],Tabel_VAS2023[Zaakcode],Tabel_prc_2023[[#This Row],[Zaakcode]],Tabel_VAS2023[Adviesofprocedure],"prc",Tabel_VAS2023[code_punten_forfait],11)</f>
        <v>0</v>
      </c>
      <c r="H68" s="92">
        <f>SUMIFS(Tabel_VAS2023[aantal_VAS],Tabel_VAS2023[Zaakcode],Tabel_prc_2023[[#This Row],[Zaakcode]],Tabel_VAS2023[Adviesofprocedure],"prc",Tabel_VAS2023[code_punten_forfait],13)</f>
        <v>0</v>
      </c>
      <c r="I68" s="92">
        <f>SUMIFS(Tabel_VAS2023[aantal_VAS],Tabel_VAS2023[Zaakcode],Tabel_prc_2023[[#This Row],[Zaakcode]],Tabel_VAS2023[Adviesofprocedure],"prc",Tabel_VAS2023[code_punten_forfait],14)</f>
        <v>2</v>
      </c>
      <c r="J68" s="91">
        <f>SUMIFS(Tabel_VAS2023[aantal_VAS],Tabel_VAS2023[Zaakcode],Tabel_prc_2023[[#This Row],[Zaakcode]],Tabel_VAS2023[Adviesofprocedure],"prc",Tabel_VAS2023[code_punten_forfait],12)</f>
        <v>0</v>
      </c>
      <c r="K68" s="92">
        <f>SUMIFS(Tabel_VAS2023[aantal_VAS],Tabel_VAS2023[Zaakcode],Tabel_prc_2023[[#This Row],[Zaakcode]],Tabel_VAS2023[Adviesofprocedure],"prc",Tabel_VAS2023[code_punten_forfait],15)</f>
        <v>0</v>
      </c>
      <c r="L68" s="92">
        <f>SUMIFS(Tabel_VAS2023[aantal_VAS],Tabel_VAS2023[Zaakcode],Tabel_prc_2023[[#This Row],[Zaakcode]],Tabel_VAS2023[Adviesofprocedure],"prc",Tabel_VAS2023[code_punten_forfait],16)</f>
        <v>0</v>
      </c>
      <c r="M68" s="35" t="str">
        <f>IFERROR(INDEX(Tabel_forfaits[forfait vanaf 2022],MATCH(Tabel_prc_2023[[#This Row],[Zaakcode]],Tabel_forfaits[Zaakcode],0)), "n.v.t.")</f>
        <v>n.v.t.</v>
      </c>
      <c r="N68" s="35" t="str">
        <f>IFERROR(INDEX(Tabel_forfaits[forfait VdM II voor berekening],MATCH(Tabel_prc_2023[[#This Row],[Zaakcode]],Tabel_forfaits[Zaakcode],0)), "n.v.t.")</f>
        <v>n.v.t.</v>
      </c>
      <c r="O68" s="36"/>
      <c r="P6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6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6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68" s="35">
        <f>IF(Tabel_prc_2023[[#This Row],[procedure - forfait VdM II]]="n.v.t.",0,  Tabel_prc_2023[[#This Row],[procedure - aantal 0 punten]] * (Tabel_prc_2023[[#This Row],[procedure - forfait VdM II]] - Tabel_prc_2023[[#This Row],[procedure - forfait VdM I]]))</f>
        <v>0</v>
      </c>
      <c r="T6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v>
      </c>
      <c r="U6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68" s="109">
        <f>Tabel_prc_2023[[#This Row],[procedure - totaal extra punten toev. VdM II t.o.v. huidig]] * tarief_huidig</f>
        <v>0</v>
      </c>
    </row>
    <row r="69" spans="1:22" x14ac:dyDescent="0.3">
      <c r="A69"/>
      <c r="B69" s="1" t="s">
        <v>64</v>
      </c>
      <c r="C69" s="34" t="s">
        <v>5</v>
      </c>
      <c r="D6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19</v>
      </c>
      <c r="E6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214.9</v>
      </c>
      <c r="F69" s="91">
        <f>SUMIFS(Tabel_VAS2023[aantal_VAS],Tabel_VAS2023[Zaakcode],Tabel_prc_2023[[#This Row],[Zaakcode]],Tabel_VAS2023[Adviesofprocedure],"prc",Tabel_VAS2023[code_punten_forfait],10)</f>
        <v>0</v>
      </c>
      <c r="G69" s="91">
        <f>SUMIFS(Tabel_VAS2023[aantal_VAS],Tabel_VAS2023[Zaakcode],Tabel_prc_2023[[#This Row],[Zaakcode]],Tabel_VAS2023[Adviesofprocedure],"prc",Tabel_VAS2023[code_punten_forfait],11)</f>
        <v>9</v>
      </c>
      <c r="H69" s="92">
        <f>SUMIFS(Tabel_VAS2023[aantal_VAS],Tabel_VAS2023[Zaakcode],Tabel_prc_2023[[#This Row],[Zaakcode]],Tabel_VAS2023[Adviesofprocedure],"prc",Tabel_VAS2023[code_punten_forfait],13)</f>
        <v>2</v>
      </c>
      <c r="I69" s="92">
        <f>SUMIFS(Tabel_VAS2023[aantal_VAS],Tabel_VAS2023[Zaakcode],Tabel_prc_2023[[#This Row],[Zaakcode]],Tabel_VAS2023[Adviesofprocedure],"prc",Tabel_VAS2023[code_punten_forfait],14)</f>
        <v>0</v>
      </c>
      <c r="J69" s="91">
        <f>SUMIFS(Tabel_VAS2023[aantal_VAS],Tabel_VAS2023[Zaakcode],Tabel_prc_2023[[#This Row],[Zaakcode]],Tabel_VAS2023[Adviesofprocedure],"prc",Tabel_VAS2023[code_punten_forfait],12)</f>
        <v>6</v>
      </c>
      <c r="K69" s="92">
        <f>SUMIFS(Tabel_VAS2023[aantal_VAS],Tabel_VAS2023[Zaakcode],Tabel_prc_2023[[#This Row],[Zaakcode]],Tabel_VAS2023[Adviesofprocedure],"prc",Tabel_VAS2023[code_punten_forfait],15)</f>
        <v>1</v>
      </c>
      <c r="L69" s="92">
        <f>SUMIFS(Tabel_VAS2023[aantal_VAS],Tabel_VAS2023[Zaakcode],Tabel_prc_2023[[#This Row],[Zaakcode]],Tabel_VAS2023[Adviesofprocedure],"prc",Tabel_VAS2023[code_punten_forfait],16)</f>
        <v>1</v>
      </c>
      <c r="M69" s="35" t="str">
        <f>IFERROR(INDEX(Tabel_forfaits[forfait vanaf 2022],MATCH(Tabel_prc_2023[[#This Row],[Zaakcode]],Tabel_forfaits[Zaakcode],0)), "n.v.t.")</f>
        <v>n.v.t.</v>
      </c>
      <c r="N69" s="35" t="str">
        <f>IFERROR(INDEX(Tabel_forfaits[forfait VdM II voor berekening],MATCH(Tabel_prc_2023[[#This Row],[Zaakcode]],Tabel_forfaits[Zaakcode],0)), "n.v.t.")</f>
        <v>n.v.t.</v>
      </c>
      <c r="O69" s="36"/>
      <c r="P6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6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6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69" s="35">
        <f>IF(Tabel_prc_2023[[#This Row],[procedure - forfait VdM II]]="n.v.t.",0,  Tabel_prc_2023[[#This Row],[procedure - aantal 0 punten]] * (Tabel_prc_2023[[#This Row],[procedure - forfait VdM II]] - Tabel_prc_2023[[#This Row],[procedure - forfait VdM I]]))</f>
        <v>0</v>
      </c>
      <c r="T6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19</v>
      </c>
      <c r="U6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69" s="109">
        <f>Tabel_prc_2023[[#This Row],[procedure - totaal extra punten toev. VdM II t.o.v. huidig]] * tarief_huidig</f>
        <v>0</v>
      </c>
    </row>
    <row r="70" spans="1:22" x14ac:dyDescent="0.3">
      <c r="A70"/>
      <c r="B70" s="1" t="s">
        <v>65</v>
      </c>
      <c r="C70" s="34" t="s">
        <v>5</v>
      </c>
      <c r="D7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7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70" s="91">
        <f>SUMIFS(Tabel_VAS2023[aantal_VAS],Tabel_VAS2023[Zaakcode],Tabel_prc_2023[[#This Row],[Zaakcode]],Tabel_VAS2023[Adviesofprocedure],"prc",Tabel_VAS2023[code_punten_forfait],10)</f>
        <v>0</v>
      </c>
      <c r="G70" s="91">
        <f>SUMIFS(Tabel_VAS2023[aantal_VAS],Tabel_VAS2023[Zaakcode],Tabel_prc_2023[[#This Row],[Zaakcode]],Tabel_VAS2023[Adviesofprocedure],"prc",Tabel_VAS2023[code_punten_forfait],11)</f>
        <v>0</v>
      </c>
      <c r="H70" s="92">
        <f>SUMIFS(Tabel_VAS2023[aantal_VAS],Tabel_VAS2023[Zaakcode],Tabel_prc_2023[[#This Row],[Zaakcode]],Tabel_VAS2023[Adviesofprocedure],"prc",Tabel_VAS2023[code_punten_forfait],13)</f>
        <v>0</v>
      </c>
      <c r="I70" s="92">
        <f>SUMIFS(Tabel_VAS2023[aantal_VAS],Tabel_VAS2023[Zaakcode],Tabel_prc_2023[[#This Row],[Zaakcode]],Tabel_VAS2023[Adviesofprocedure],"prc",Tabel_VAS2023[code_punten_forfait],14)</f>
        <v>0</v>
      </c>
      <c r="J70" s="91">
        <f>SUMIFS(Tabel_VAS2023[aantal_VAS],Tabel_VAS2023[Zaakcode],Tabel_prc_2023[[#This Row],[Zaakcode]],Tabel_VAS2023[Adviesofprocedure],"prc",Tabel_VAS2023[code_punten_forfait],12)</f>
        <v>0</v>
      </c>
      <c r="K70" s="92">
        <f>SUMIFS(Tabel_VAS2023[aantal_VAS],Tabel_VAS2023[Zaakcode],Tabel_prc_2023[[#This Row],[Zaakcode]],Tabel_VAS2023[Adviesofprocedure],"prc",Tabel_VAS2023[code_punten_forfait],15)</f>
        <v>0</v>
      </c>
      <c r="L70" s="92">
        <f>SUMIFS(Tabel_VAS2023[aantal_VAS],Tabel_VAS2023[Zaakcode],Tabel_prc_2023[[#This Row],[Zaakcode]],Tabel_VAS2023[Adviesofprocedure],"prc",Tabel_VAS2023[code_punten_forfait],16)</f>
        <v>0</v>
      </c>
      <c r="M70" s="35" t="str">
        <f>IFERROR(INDEX(Tabel_forfaits[forfait vanaf 2022],MATCH(Tabel_prc_2023[[#This Row],[Zaakcode]],Tabel_forfaits[Zaakcode],0)), "n.v.t.")</f>
        <v>n.v.t.</v>
      </c>
      <c r="N70" s="35" t="str">
        <f>IFERROR(INDEX(Tabel_forfaits[forfait VdM II voor berekening],MATCH(Tabel_prc_2023[[#This Row],[Zaakcode]],Tabel_forfaits[Zaakcode],0)), "n.v.t.")</f>
        <v>n.v.t.</v>
      </c>
      <c r="O70" s="36"/>
      <c r="P7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0" s="35">
        <f>IF(Tabel_prc_2023[[#This Row],[procedure - forfait VdM II]]="n.v.t.",0,  Tabel_prc_2023[[#This Row],[procedure - aantal 0 punten]] * (Tabel_prc_2023[[#This Row],[procedure - forfait VdM II]] - Tabel_prc_2023[[#This Row],[procedure - forfait VdM I]]))</f>
        <v>0</v>
      </c>
      <c r="T7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7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0" s="109">
        <f>Tabel_prc_2023[[#This Row],[procedure - totaal extra punten toev. VdM II t.o.v. huidig]] * tarief_huidig</f>
        <v>0</v>
      </c>
    </row>
    <row r="71" spans="1:22" x14ac:dyDescent="0.3">
      <c r="A71"/>
      <c r="B71" s="1" t="s">
        <v>66</v>
      </c>
      <c r="C71" s="34" t="s">
        <v>5</v>
      </c>
      <c r="D7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7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71" s="91">
        <f>SUMIFS(Tabel_VAS2023[aantal_VAS],Tabel_VAS2023[Zaakcode],Tabel_prc_2023[[#This Row],[Zaakcode]],Tabel_VAS2023[Adviesofprocedure],"prc",Tabel_VAS2023[code_punten_forfait],10)</f>
        <v>0</v>
      </c>
      <c r="G71" s="91">
        <f>SUMIFS(Tabel_VAS2023[aantal_VAS],Tabel_VAS2023[Zaakcode],Tabel_prc_2023[[#This Row],[Zaakcode]],Tabel_VAS2023[Adviesofprocedure],"prc",Tabel_VAS2023[code_punten_forfait],11)</f>
        <v>0</v>
      </c>
      <c r="H71" s="92">
        <f>SUMIFS(Tabel_VAS2023[aantal_VAS],Tabel_VAS2023[Zaakcode],Tabel_prc_2023[[#This Row],[Zaakcode]],Tabel_VAS2023[Adviesofprocedure],"prc",Tabel_VAS2023[code_punten_forfait],13)</f>
        <v>0</v>
      </c>
      <c r="I71" s="92">
        <f>SUMIFS(Tabel_VAS2023[aantal_VAS],Tabel_VAS2023[Zaakcode],Tabel_prc_2023[[#This Row],[Zaakcode]],Tabel_VAS2023[Adviesofprocedure],"prc",Tabel_VAS2023[code_punten_forfait],14)</f>
        <v>0</v>
      </c>
      <c r="J71" s="91">
        <f>SUMIFS(Tabel_VAS2023[aantal_VAS],Tabel_VAS2023[Zaakcode],Tabel_prc_2023[[#This Row],[Zaakcode]],Tabel_VAS2023[Adviesofprocedure],"prc",Tabel_VAS2023[code_punten_forfait],12)</f>
        <v>0</v>
      </c>
      <c r="K71" s="92">
        <f>SUMIFS(Tabel_VAS2023[aantal_VAS],Tabel_VAS2023[Zaakcode],Tabel_prc_2023[[#This Row],[Zaakcode]],Tabel_VAS2023[Adviesofprocedure],"prc",Tabel_VAS2023[code_punten_forfait],15)</f>
        <v>0</v>
      </c>
      <c r="L71" s="92">
        <f>SUMIFS(Tabel_VAS2023[aantal_VAS],Tabel_VAS2023[Zaakcode],Tabel_prc_2023[[#This Row],[Zaakcode]],Tabel_VAS2023[Adviesofprocedure],"prc",Tabel_VAS2023[code_punten_forfait],16)</f>
        <v>0</v>
      </c>
      <c r="M71" s="35" t="str">
        <f>IFERROR(INDEX(Tabel_forfaits[forfait vanaf 2022],MATCH(Tabel_prc_2023[[#This Row],[Zaakcode]],Tabel_forfaits[Zaakcode],0)), "n.v.t.")</f>
        <v>n.v.t.</v>
      </c>
      <c r="N71" s="35" t="str">
        <f>IFERROR(INDEX(Tabel_forfaits[forfait VdM II voor berekening],MATCH(Tabel_prc_2023[[#This Row],[Zaakcode]],Tabel_forfaits[Zaakcode],0)), "n.v.t.")</f>
        <v>n.v.t.</v>
      </c>
      <c r="O71" s="36"/>
      <c r="P7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1" s="35">
        <f>IF(Tabel_prc_2023[[#This Row],[procedure - forfait VdM II]]="n.v.t.",0,  Tabel_prc_2023[[#This Row],[procedure - aantal 0 punten]] * (Tabel_prc_2023[[#This Row],[procedure - forfait VdM II]] - Tabel_prc_2023[[#This Row],[procedure - forfait VdM I]]))</f>
        <v>0</v>
      </c>
      <c r="T7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7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1" s="109">
        <f>Tabel_prc_2023[[#This Row],[procedure - totaal extra punten toev. VdM II t.o.v. huidig]] * tarief_huidig</f>
        <v>0</v>
      </c>
    </row>
    <row r="72" spans="1:22" x14ac:dyDescent="0.3">
      <c r="A72"/>
      <c r="B72" s="1" t="s">
        <v>67</v>
      </c>
      <c r="C72" s="34" t="s">
        <v>5</v>
      </c>
      <c r="D7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v>
      </c>
      <c r="E7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v>
      </c>
      <c r="F72" s="91">
        <f>SUMIFS(Tabel_VAS2023[aantal_VAS],Tabel_VAS2023[Zaakcode],Tabel_prc_2023[[#This Row],[Zaakcode]],Tabel_VAS2023[Adviesofprocedure],"prc",Tabel_VAS2023[code_punten_forfait],10)</f>
        <v>0</v>
      </c>
      <c r="G72" s="91">
        <f>SUMIFS(Tabel_VAS2023[aantal_VAS],Tabel_VAS2023[Zaakcode],Tabel_prc_2023[[#This Row],[Zaakcode]],Tabel_VAS2023[Adviesofprocedure],"prc",Tabel_VAS2023[code_punten_forfait],11)</f>
        <v>1</v>
      </c>
      <c r="H72" s="92">
        <f>SUMIFS(Tabel_VAS2023[aantal_VAS],Tabel_VAS2023[Zaakcode],Tabel_prc_2023[[#This Row],[Zaakcode]],Tabel_VAS2023[Adviesofprocedure],"prc",Tabel_VAS2023[code_punten_forfait],13)</f>
        <v>0</v>
      </c>
      <c r="I72" s="92">
        <f>SUMIFS(Tabel_VAS2023[aantal_VAS],Tabel_VAS2023[Zaakcode],Tabel_prc_2023[[#This Row],[Zaakcode]],Tabel_VAS2023[Adviesofprocedure],"prc",Tabel_VAS2023[code_punten_forfait],14)</f>
        <v>0</v>
      </c>
      <c r="J72" s="91">
        <f>SUMIFS(Tabel_VAS2023[aantal_VAS],Tabel_VAS2023[Zaakcode],Tabel_prc_2023[[#This Row],[Zaakcode]],Tabel_VAS2023[Adviesofprocedure],"prc",Tabel_VAS2023[code_punten_forfait],12)</f>
        <v>0</v>
      </c>
      <c r="K72" s="92">
        <f>SUMIFS(Tabel_VAS2023[aantal_VAS],Tabel_VAS2023[Zaakcode],Tabel_prc_2023[[#This Row],[Zaakcode]],Tabel_VAS2023[Adviesofprocedure],"prc",Tabel_VAS2023[code_punten_forfait],15)</f>
        <v>0</v>
      </c>
      <c r="L72" s="92">
        <f>SUMIFS(Tabel_VAS2023[aantal_VAS],Tabel_VAS2023[Zaakcode],Tabel_prc_2023[[#This Row],[Zaakcode]],Tabel_VAS2023[Adviesofprocedure],"prc",Tabel_VAS2023[code_punten_forfait],16)</f>
        <v>0</v>
      </c>
      <c r="M72" s="35">
        <f>IFERROR(INDEX(Tabel_forfaits[forfait vanaf 2022],MATCH(Tabel_prc_2023[[#This Row],[Zaakcode]],Tabel_forfaits[Zaakcode],0)), "n.v.t.")</f>
        <v>14</v>
      </c>
      <c r="N72" s="35">
        <f>IFERROR(INDEX(Tabel_forfaits[forfait VdM II voor berekening],MATCH(Tabel_prc_2023[[#This Row],[Zaakcode]],Tabel_forfaits[Zaakcode],0)), "n.v.t.")</f>
        <v>14</v>
      </c>
      <c r="O72" s="36"/>
      <c r="P7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2" s="35">
        <f>IF(Tabel_prc_2023[[#This Row],[procedure - forfait VdM II]]="n.v.t.",0,  Tabel_prc_2023[[#This Row],[procedure - aantal 0 punten]] * (Tabel_prc_2023[[#This Row],[procedure - forfait VdM II]] - Tabel_prc_2023[[#This Row],[procedure - forfait VdM I]]))</f>
        <v>0</v>
      </c>
      <c r="T7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v>
      </c>
      <c r="U7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2" s="109">
        <f>Tabel_prc_2023[[#This Row],[procedure - totaal extra punten toev. VdM II t.o.v. huidig]] * tarief_huidig</f>
        <v>0</v>
      </c>
    </row>
    <row r="73" spans="1:22" x14ac:dyDescent="0.3">
      <c r="A73"/>
      <c r="B73" s="1" t="s">
        <v>68</v>
      </c>
      <c r="C73" s="34" t="s">
        <v>5</v>
      </c>
      <c r="D7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2086</v>
      </c>
      <c r="E7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21131.5</v>
      </c>
      <c r="F73" s="91">
        <f>SUMIFS(Tabel_VAS2023[aantal_VAS],Tabel_VAS2023[Zaakcode],Tabel_prc_2023[[#This Row],[Zaakcode]],Tabel_VAS2023[Adviesofprocedure],"prc",Tabel_VAS2023[code_punten_forfait],10)</f>
        <v>1</v>
      </c>
      <c r="G73" s="91">
        <f>SUMIFS(Tabel_VAS2023[aantal_VAS],Tabel_VAS2023[Zaakcode],Tabel_prc_2023[[#This Row],[Zaakcode]],Tabel_VAS2023[Adviesofprocedure],"prc",Tabel_VAS2023[code_punten_forfait],11)</f>
        <v>2002</v>
      </c>
      <c r="H73" s="92">
        <f>SUMIFS(Tabel_VAS2023[aantal_VAS],Tabel_VAS2023[Zaakcode],Tabel_prc_2023[[#This Row],[Zaakcode]],Tabel_VAS2023[Adviesofprocedure],"prc",Tabel_VAS2023[code_punten_forfait],13)</f>
        <v>7</v>
      </c>
      <c r="I73" s="92">
        <f>SUMIFS(Tabel_VAS2023[aantal_VAS],Tabel_VAS2023[Zaakcode],Tabel_prc_2023[[#This Row],[Zaakcode]],Tabel_VAS2023[Adviesofprocedure],"prc",Tabel_VAS2023[code_punten_forfait],14)</f>
        <v>75</v>
      </c>
      <c r="J73" s="91">
        <f>SUMIFS(Tabel_VAS2023[aantal_VAS],Tabel_VAS2023[Zaakcode],Tabel_prc_2023[[#This Row],[Zaakcode]],Tabel_VAS2023[Adviesofprocedure],"prc",Tabel_VAS2023[code_punten_forfait],12)</f>
        <v>0</v>
      </c>
      <c r="K73" s="92">
        <f>SUMIFS(Tabel_VAS2023[aantal_VAS],Tabel_VAS2023[Zaakcode],Tabel_prc_2023[[#This Row],[Zaakcode]],Tabel_VAS2023[Adviesofprocedure],"prc",Tabel_VAS2023[code_punten_forfait],15)</f>
        <v>1</v>
      </c>
      <c r="L73" s="92">
        <f>SUMIFS(Tabel_VAS2023[aantal_VAS],Tabel_VAS2023[Zaakcode],Tabel_prc_2023[[#This Row],[Zaakcode]],Tabel_VAS2023[Adviesofprocedure],"prc",Tabel_VAS2023[code_punten_forfait],16)</f>
        <v>0</v>
      </c>
      <c r="M73" s="35">
        <f>IFERROR(INDEX(Tabel_forfaits[forfait vanaf 2022],MATCH(Tabel_prc_2023[[#This Row],[Zaakcode]],Tabel_forfaits[Zaakcode],0)), "n.v.t.")</f>
        <v>13</v>
      </c>
      <c r="N73" s="35">
        <f>IFERROR(INDEX(Tabel_forfaits[forfait VdM II voor berekening],MATCH(Tabel_prc_2023[[#This Row],[Zaakcode]],Tabel_forfaits[Zaakcode],0)), "n.v.t.")</f>
        <v>12</v>
      </c>
      <c r="O73" s="36"/>
      <c r="P7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-2002</v>
      </c>
      <c r="Q7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v>
      </c>
      <c r="R7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-112.5</v>
      </c>
      <c r="S73" s="35">
        <f>IF(Tabel_prc_2023[[#This Row],[procedure - forfait VdM II]]="n.v.t.",0,  Tabel_prc_2023[[#This Row],[procedure - aantal 0 punten]] * (Tabel_prc_2023[[#This Row],[procedure - forfait VdM II]] - Tabel_prc_2023[[#This Row],[procedure - forfait VdM I]]))</f>
        <v>-1</v>
      </c>
      <c r="T7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2085</v>
      </c>
      <c r="U7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-2122.5</v>
      </c>
      <c r="V73" s="109">
        <f>Tabel_prc_2023[[#This Row],[procedure - totaal extra punten toev. VdM II t.o.v. huidig]] * tarief_huidig</f>
        <v>-325008.87374999997</v>
      </c>
    </row>
    <row r="74" spans="1:22" x14ac:dyDescent="0.3">
      <c r="A74"/>
      <c r="B74" s="1" t="s">
        <v>69</v>
      </c>
      <c r="C74" s="34" t="s">
        <v>5</v>
      </c>
      <c r="D7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13</v>
      </c>
      <c r="E7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130</v>
      </c>
      <c r="F74" s="91">
        <f>SUMIFS(Tabel_VAS2023[aantal_VAS],Tabel_VAS2023[Zaakcode],Tabel_prc_2023[[#This Row],[Zaakcode]],Tabel_VAS2023[Adviesofprocedure],"prc",Tabel_VAS2023[code_punten_forfait],10)</f>
        <v>0</v>
      </c>
      <c r="G74" s="91">
        <f>SUMIFS(Tabel_VAS2023[aantal_VAS],Tabel_VAS2023[Zaakcode],Tabel_prc_2023[[#This Row],[Zaakcode]],Tabel_VAS2023[Adviesofprocedure],"prc",Tabel_VAS2023[code_punten_forfait],11)</f>
        <v>13</v>
      </c>
      <c r="H74" s="92">
        <f>SUMIFS(Tabel_VAS2023[aantal_VAS],Tabel_VAS2023[Zaakcode],Tabel_prc_2023[[#This Row],[Zaakcode]],Tabel_VAS2023[Adviesofprocedure],"prc",Tabel_VAS2023[code_punten_forfait],13)</f>
        <v>0</v>
      </c>
      <c r="I74" s="92">
        <f>SUMIFS(Tabel_VAS2023[aantal_VAS],Tabel_VAS2023[Zaakcode],Tabel_prc_2023[[#This Row],[Zaakcode]],Tabel_VAS2023[Adviesofprocedure],"prc",Tabel_VAS2023[code_punten_forfait],14)</f>
        <v>0</v>
      </c>
      <c r="J74" s="91">
        <f>SUMIFS(Tabel_VAS2023[aantal_VAS],Tabel_VAS2023[Zaakcode],Tabel_prc_2023[[#This Row],[Zaakcode]],Tabel_VAS2023[Adviesofprocedure],"prc",Tabel_VAS2023[code_punten_forfait],12)</f>
        <v>0</v>
      </c>
      <c r="K74" s="92">
        <f>SUMIFS(Tabel_VAS2023[aantal_VAS],Tabel_VAS2023[Zaakcode],Tabel_prc_2023[[#This Row],[Zaakcode]],Tabel_VAS2023[Adviesofprocedure],"prc",Tabel_VAS2023[code_punten_forfait],15)</f>
        <v>0</v>
      </c>
      <c r="L74" s="92">
        <f>SUMIFS(Tabel_VAS2023[aantal_VAS],Tabel_VAS2023[Zaakcode],Tabel_prc_2023[[#This Row],[Zaakcode]],Tabel_VAS2023[Adviesofprocedure],"prc",Tabel_VAS2023[code_punten_forfait],16)</f>
        <v>0</v>
      </c>
      <c r="M74" s="35">
        <f>IFERROR(INDEX(Tabel_forfaits[forfait vanaf 2022],MATCH(Tabel_prc_2023[[#This Row],[Zaakcode]],Tabel_forfaits[Zaakcode],0)), "n.v.t.")</f>
        <v>13</v>
      </c>
      <c r="N74" s="35">
        <f>IFERROR(INDEX(Tabel_forfaits[forfait VdM II voor berekening],MATCH(Tabel_prc_2023[[#This Row],[Zaakcode]],Tabel_forfaits[Zaakcode],0)), "n.v.t.")</f>
        <v>12</v>
      </c>
      <c r="O74" s="36"/>
      <c r="P7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-13</v>
      </c>
      <c r="Q7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4" s="35">
        <f>IF(Tabel_prc_2023[[#This Row],[procedure - forfait VdM II]]="n.v.t.",0,  Tabel_prc_2023[[#This Row],[procedure - aantal 0 punten]] * (Tabel_prc_2023[[#This Row],[procedure - forfait VdM II]] - Tabel_prc_2023[[#This Row],[procedure - forfait VdM I]]))</f>
        <v>0</v>
      </c>
      <c r="T7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13</v>
      </c>
      <c r="U7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-13</v>
      </c>
      <c r="V74" s="109">
        <f>Tabel_prc_2023[[#This Row],[procedure - totaal extra punten toev. VdM II t.o.v. huidig]] * tarief_huidig</f>
        <v>-1990.6315</v>
      </c>
    </row>
    <row r="75" spans="1:22" x14ac:dyDescent="0.3">
      <c r="A75"/>
      <c r="B75" s="1" t="s">
        <v>70</v>
      </c>
      <c r="C75" s="34" t="s">
        <v>5</v>
      </c>
      <c r="D7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2098</v>
      </c>
      <c r="E7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24794.3</v>
      </c>
      <c r="F75" s="91">
        <f>SUMIFS(Tabel_VAS2023[aantal_VAS],Tabel_VAS2023[Zaakcode],Tabel_prc_2023[[#This Row],[Zaakcode]],Tabel_VAS2023[Adviesofprocedure],"prc",Tabel_VAS2023[code_punten_forfait],10)</f>
        <v>7</v>
      </c>
      <c r="G75" s="91">
        <f>SUMIFS(Tabel_VAS2023[aantal_VAS],Tabel_VAS2023[Zaakcode],Tabel_prc_2023[[#This Row],[Zaakcode]],Tabel_VAS2023[Adviesofprocedure],"prc",Tabel_VAS2023[code_punten_forfait],11)</f>
        <v>742</v>
      </c>
      <c r="H75" s="92">
        <f>SUMIFS(Tabel_VAS2023[aantal_VAS],Tabel_VAS2023[Zaakcode],Tabel_prc_2023[[#This Row],[Zaakcode]],Tabel_VAS2023[Adviesofprocedure],"prc",Tabel_VAS2023[code_punten_forfait],13)</f>
        <v>3</v>
      </c>
      <c r="I75" s="92">
        <f>SUMIFS(Tabel_VAS2023[aantal_VAS],Tabel_VAS2023[Zaakcode],Tabel_prc_2023[[#This Row],[Zaakcode]],Tabel_VAS2023[Adviesofprocedure],"prc",Tabel_VAS2023[code_punten_forfait],14)</f>
        <v>15</v>
      </c>
      <c r="J75" s="91">
        <f>SUMIFS(Tabel_VAS2023[aantal_VAS],Tabel_VAS2023[Zaakcode],Tabel_prc_2023[[#This Row],[Zaakcode]],Tabel_VAS2023[Adviesofprocedure],"prc",Tabel_VAS2023[code_punten_forfait],12)</f>
        <v>1285</v>
      </c>
      <c r="K75" s="92">
        <f>SUMIFS(Tabel_VAS2023[aantal_VAS],Tabel_VAS2023[Zaakcode],Tabel_prc_2023[[#This Row],[Zaakcode]],Tabel_VAS2023[Adviesofprocedure],"prc",Tabel_VAS2023[code_punten_forfait],15)</f>
        <v>42</v>
      </c>
      <c r="L75" s="92">
        <f>SUMIFS(Tabel_VAS2023[aantal_VAS],Tabel_VAS2023[Zaakcode],Tabel_prc_2023[[#This Row],[Zaakcode]],Tabel_VAS2023[Adviesofprocedure],"prc",Tabel_VAS2023[code_punten_forfait],16)</f>
        <v>4</v>
      </c>
      <c r="M75" s="35">
        <f>IFERROR(INDEX(Tabel_forfaits[forfait vanaf 2022],MATCH(Tabel_prc_2023[[#This Row],[Zaakcode]],Tabel_forfaits[Zaakcode],0)), "n.v.t.")</f>
        <v>13</v>
      </c>
      <c r="N75" s="35">
        <f>IFERROR(INDEX(Tabel_forfaits[forfait VdM II voor berekening],MATCH(Tabel_prc_2023[[#This Row],[Zaakcode]],Tabel_forfaits[Zaakcode],0)), "n.v.t.")</f>
        <v>17</v>
      </c>
      <c r="O75" s="36"/>
      <c r="P7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8108</v>
      </c>
      <c r="Q7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180</v>
      </c>
      <c r="R7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114</v>
      </c>
      <c r="S75" s="35">
        <f>IF(Tabel_prc_2023[[#This Row],[procedure - forfait VdM II]]="n.v.t.",0,  Tabel_prc_2023[[#This Row],[procedure - aantal 0 punten]] * (Tabel_prc_2023[[#This Row],[procedure - forfait VdM II]] - Tabel_prc_2023[[#This Row],[procedure - forfait VdM I]]))</f>
        <v>28</v>
      </c>
      <c r="T7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2091</v>
      </c>
      <c r="U7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8402</v>
      </c>
      <c r="V75" s="109">
        <f>Tabel_prc_2023[[#This Row],[procedure - totaal extra punten toev. VdM II t.o.v. huidig]] * tarief_huidig</f>
        <v>1286560.4509999999</v>
      </c>
    </row>
    <row r="76" spans="1:22" x14ac:dyDescent="0.3">
      <c r="A76"/>
      <c r="B76" s="1" t="s">
        <v>71</v>
      </c>
      <c r="C76" s="34" t="s">
        <v>5</v>
      </c>
      <c r="D7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v>
      </c>
      <c r="E7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150</v>
      </c>
      <c r="F76" s="91">
        <f>SUMIFS(Tabel_VAS2023[aantal_VAS],Tabel_VAS2023[Zaakcode],Tabel_prc_2023[[#This Row],[Zaakcode]],Tabel_VAS2023[Adviesofprocedure],"prc",Tabel_VAS2023[code_punten_forfait],10)</f>
        <v>0</v>
      </c>
      <c r="G76" s="91">
        <f>SUMIFS(Tabel_VAS2023[aantal_VAS],Tabel_VAS2023[Zaakcode],Tabel_prc_2023[[#This Row],[Zaakcode]],Tabel_VAS2023[Adviesofprocedure],"prc",Tabel_VAS2023[code_punten_forfait],11)</f>
        <v>2</v>
      </c>
      <c r="H76" s="92">
        <f>SUMIFS(Tabel_VAS2023[aantal_VAS],Tabel_VAS2023[Zaakcode],Tabel_prc_2023[[#This Row],[Zaakcode]],Tabel_VAS2023[Adviesofprocedure],"prc",Tabel_VAS2023[code_punten_forfait],13)</f>
        <v>0</v>
      </c>
      <c r="I76" s="92">
        <f>SUMIFS(Tabel_VAS2023[aantal_VAS],Tabel_VAS2023[Zaakcode],Tabel_prc_2023[[#This Row],[Zaakcode]],Tabel_VAS2023[Adviesofprocedure],"prc",Tabel_VAS2023[code_punten_forfait],14)</f>
        <v>0</v>
      </c>
      <c r="J76" s="91">
        <f>SUMIFS(Tabel_VAS2023[aantal_VAS],Tabel_VAS2023[Zaakcode],Tabel_prc_2023[[#This Row],[Zaakcode]],Tabel_VAS2023[Adviesofprocedure],"prc",Tabel_VAS2023[code_punten_forfait],12)</f>
        <v>10</v>
      </c>
      <c r="K76" s="92">
        <f>SUMIFS(Tabel_VAS2023[aantal_VAS],Tabel_VAS2023[Zaakcode],Tabel_prc_2023[[#This Row],[Zaakcode]],Tabel_VAS2023[Adviesofprocedure],"prc",Tabel_VAS2023[code_punten_forfait],15)</f>
        <v>0</v>
      </c>
      <c r="L76" s="92">
        <f>SUMIFS(Tabel_VAS2023[aantal_VAS],Tabel_VAS2023[Zaakcode],Tabel_prc_2023[[#This Row],[Zaakcode]],Tabel_VAS2023[Adviesofprocedure],"prc",Tabel_VAS2023[code_punten_forfait],16)</f>
        <v>0</v>
      </c>
      <c r="M76" s="35">
        <f>IFERROR(INDEX(Tabel_forfaits[forfait vanaf 2022],MATCH(Tabel_prc_2023[[#This Row],[Zaakcode]],Tabel_forfaits[Zaakcode],0)), "n.v.t.")</f>
        <v>13</v>
      </c>
      <c r="N76" s="35">
        <f>IFERROR(INDEX(Tabel_forfaits[forfait VdM II voor berekening],MATCH(Tabel_prc_2023[[#This Row],[Zaakcode]],Tabel_forfaits[Zaakcode],0)), "n.v.t.")</f>
        <v>13</v>
      </c>
      <c r="O76" s="36"/>
      <c r="P7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6" s="35">
        <f>IF(Tabel_prc_2023[[#This Row],[procedure - forfait VdM II]]="n.v.t.",0,  Tabel_prc_2023[[#This Row],[procedure - aantal 0 punten]] * (Tabel_prc_2023[[#This Row],[procedure - forfait VdM II]] - Tabel_prc_2023[[#This Row],[procedure - forfait VdM I]]))</f>
        <v>0</v>
      </c>
      <c r="T7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v>
      </c>
      <c r="U7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6" s="109">
        <f>Tabel_prc_2023[[#This Row],[procedure - totaal extra punten toev. VdM II t.o.v. huidig]] * tarief_huidig</f>
        <v>0</v>
      </c>
    </row>
    <row r="77" spans="1:22" x14ac:dyDescent="0.3">
      <c r="A77"/>
      <c r="B77" s="1" t="s">
        <v>72</v>
      </c>
      <c r="C77" s="34" t="s">
        <v>5</v>
      </c>
      <c r="D7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7595</v>
      </c>
      <c r="E7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90166.8</v>
      </c>
      <c r="F77" s="91">
        <f>SUMIFS(Tabel_VAS2023[aantal_VAS],Tabel_VAS2023[Zaakcode],Tabel_prc_2023[[#This Row],[Zaakcode]],Tabel_VAS2023[Adviesofprocedure],"prc",Tabel_VAS2023[code_punten_forfait],10)</f>
        <v>435</v>
      </c>
      <c r="G77" s="91">
        <f>SUMIFS(Tabel_VAS2023[aantal_VAS],Tabel_VAS2023[Zaakcode],Tabel_prc_2023[[#This Row],[Zaakcode]],Tabel_VAS2023[Adviesofprocedure],"prc",Tabel_VAS2023[code_punten_forfait],11)</f>
        <v>0</v>
      </c>
      <c r="H77" s="92">
        <f>SUMIFS(Tabel_VAS2023[aantal_VAS],Tabel_VAS2023[Zaakcode],Tabel_prc_2023[[#This Row],[Zaakcode]],Tabel_VAS2023[Adviesofprocedure],"prc",Tabel_VAS2023[code_punten_forfait],13)</f>
        <v>0</v>
      </c>
      <c r="I77" s="92">
        <f>SUMIFS(Tabel_VAS2023[aantal_VAS],Tabel_VAS2023[Zaakcode],Tabel_prc_2023[[#This Row],[Zaakcode]],Tabel_VAS2023[Adviesofprocedure],"prc",Tabel_VAS2023[code_punten_forfait],14)</f>
        <v>0</v>
      </c>
      <c r="J77" s="91">
        <f>SUMIFS(Tabel_VAS2023[aantal_VAS],Tabel_VAS2023[Zaakcode],Tabel_prc_2023[[#This Row],[Zaakcode]],Tabel_VAS2023[Adviesofprocedure],"prc",Tabel_VAS2023[code_punten_forfait],12)</f>
        <v>6062</v>
      </c>
      <c r="K77" s="92">
        <f>SUMIFS(Tabel_VAS2023[aantal_VAS],Tabel_VAS2023[Zaakcode],Tabel_prc_2023[[#This Row],[Zaakcode]],Tabel_VAS2023[Adviesofprocedure],"prc",Tabel_VAS2023[code_punten_forfait],15)</f>
        <v>1056</v>
      </c>
      <c r="L77" s="92">
        <f>SUMIFS(Tabel_VAS2023[aantal_VAS],Tabel_VAS2023[Zaakcode],Tabel_prc_2023[[#This Row],[Zaakcode]],Tabel_VAS2023[Adviesofprocedure],"prc",Tabel_VAS2023[code_punten_forfait],16)</f>
        <v>42</v>
      </c>
      <c r="M77" s="35">
        <f>IFERROR(INDEX(Tabel_forfaits[forfait vanaf 2022],MATCH(Tabel_prc_2023[[#This Row],[Zaakcode]],Tabel_forfaits[Zaakcode],0)), "n.v.t.")</f>
        <v>13</v>
      </c>
      <c r="N77" s="35">
        <f>IFERROR(INDEX(Tabel_forfaits[forfait VdM II voor berekening],MATCH(Tabel_prc_2023[[#This Row],[Zaakcode]],Tabel_forfaits[Zaakcode],0)), "n.v.t.")</f>
        <v>12</v>
      </c>
      <c r="O77" s="36"/>
      <c r="P7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-6062</v>
      </c>
      <c r="Q7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-1056</v>
      </c>
      <c r="R7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-63</v>
      </c>
      <c r="S77" s="35">
        <f>IF(Tabel_prc_2023[[#This Row],[procedure - forfait VdM II]]="n.v.t.",0,  Tabel_prc_2023[[#This Row],[procedure - aantal 0 punten]] * (Tabel_prc_2023[[#This Row],[procedure - forfait VdM II]] - Tabel_prc_2023[[#This Row],[procedure - forfait VdM I]]))</f>
        <v>-435</v>
      </c>
      <c r="T7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7160</v>
      </c>
      <c r="U7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-7181</v>
      </c>
      <c r="V77" s="109">
        <f>Tabel_prc_2023[[#This Row],[procedure - totaal extra punten toev. VdM II t.o.v. huidig]] * tarief_huidig</f>
        <v>-1099594.2154999999</v>
      </c>
    </row>
    <row r="78" spans="1:22" x14ac:dyDescent="0.3">
      <c r="A78"/>
      <c r="B78" s="1" t="s">
        <v>73</v>
      </c>
      <c r="C78" s="34" t="s">
        <v>5</v>
      </c>
      <c r="D7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240</v>
      </c>
      <c r="E7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1499.799999999999</v>
      </c>
      <c r="F78" s="91">
        <f>SUMIFS(Tabel_VAS2023[aantal_VAS],Tabel_VAS2023[Zaakcode],Tabel_prc_2023[[#This Row],[Zaakcode]],Tabel_VAS2023[Adviesofprocedure],"prc",Tabel_VAS2023[code_punten_forfait],10)</f>
        <v>0</v>
      </c>
      <c r="G78" s="91">
        <f>SUMIFS(Tabel_VAS2023[aantal_VAS],Tabel_VAS2023[Zaakcode],Tabel_prc_2023[[#This Row],[Zaakcode]],Tabel_VAS2023[Adviesofprocedure],"prc",Tabel_VAS2023[code_punten_forfait],11)</f>
        <v>74</v>
      </c>
      <c r="H78" s="92">
        <f>SUMIFS(Tabel_VAS2023[aantal_VAS],Tabel_VAS2023[Zaakcode],Tabel_prc_2023[[#This Row],[Zaakcode]],Tabel_VAS2023[Adviesofprocedure],"prc",Tabel_VAS2023[code_punten_forfait],13)</f>
        <v>126</v>
      </c>
      <c r="I78" s="92">
        <f>SUMIFS(Tabel_VAS2023[aantal_VAS],Tabel_VAS2023[Zaakcode],Tabel_prc_2023[[#This Row],[Zaakcode]],Tabel_VAS2023[Adviesofprocedure],"prc",Tabel_VAS2023[code_punten_forfait],14)</f>
        <v>40</v>
      </c>
      <c r="J78" s="91">
        <f>SUMIFS(Tabel_VAS2023[aantal_VAS],Tabel_VAS2023[Zaakcode],Tabel_prc_2023[[#This Row],[Zaakcode]],Tabel_VAS2023[Adviesofprocedure],"prc",Tabel_VAS2023[code_punten_forfait],12)</f>
        <v>0</v>
      </c>
      <c r="K78" s="92">
        <f>SUMIFS(Tabel_VAS2023[aantal_VAS],Tabel_VAS2023[Zaakcode],Tabel_prc_2023[[#This Row],[Zaakcode]],Tabel_VAS2023[Adviesofprocedure],"prc",Tabel_VAS2023[code_punten_forfait],15)</f>
        <v>0</v>
      </c>
      <c r="L78" s="92">
        <f>SUMIFS(Tabel_VAS2023[aantal_VAS],Tabel_VAS2023[Zaakcode],Tabel_prc_2023[[#This Row],[Zaakcode]],Tabel_VAS2023[Adviesofprocedure],"prc",Tabel_VAS2023[code_punten_forfait],16)</f>
        <v>0</v>
      </c>
      <c r="M78" s="35">
        <f>IFERROR(INDEX(Tabel_forfaits[forfait vanaf 2022],MATCH(Tabel_prc_2023[[#This Row],[Zaakcode]],Tabel_forfaits[Zaakcode],0)), "n.v.t.")</f>
        <v>13</v>
      </c>
      <c r="N78" s="35">
        <f>IFERROR(INDEX(Tabel_forfaits[forfait VdM II voor berekening],MATCH(Tabel_prc_2023[[#This Row],[Zaakcode]],Tabel_forfaits[Zaakcode],0)), "n.v.t.")</f>
        <v>12</v>
      </c>
      <c r="O78" s="36"/>
      <c r="P7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-74</v>
      </c>
      <c r="Q7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-126</v>
      </c>
      <c r="R7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-60</v>
      </c>
      <c r="S78" s="35">
        <f>IF(Tabel_prc_2023[[#This Row],[procedure - forfait VdM II]]="n.v.t.",0,  Tabel_prc_2023[[#This Row],[procedure - aantal 0 punten]] * (Tabel_prc_2023[[#This Row],[procedure - forfait VdM II]] - Tabel_prc_2023[[#This Row],[procedure - forfait VdM I]]))</f>
        <v>0</v>
      </c>
      <c r="T7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240</v>
      </c>
      <c r="U7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-260</v>
      </c>
      <c r="V78" s="109">
        <f>Tabel_prc_2023[[#This Row],[procedure - totaal extra punten toev. VdM II t.o.v. huidig]] * tarief_huidig</f>
        <v>-39812.629999999997</v>
      </c>
    </row>
    <row r="79" spans="1:22" x14ac:dyDescent="0.3">
      <c r="A79"/>
      <c r="B79" s="1" t="s">
        <v>74</v>
      </c>
      <c r="C79" s="34" t="s">
        <v>5</v>
      </c>
      <c r="D7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0</v>
      </c>
      <c r="E7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0</v>
      </c>
      <c r="F79" s="91">
        <f>SUMIFS(Tabel_VAS2023[aantal_VAS],Tabel_VAS2023[Zaakcode],Tabel_prc_2023[[#This Row],[Zaakcode]],Tabel_VAS2023[Adviesofprocedure],"prc",Tabel_VAS2023[code_punten_forfait],10)</f>
        <v>0</v>
      </c>
      <c r="G79" s="91">
        <f>SUMIFS(Tabel_VAS2023[aantal_VAS],Tabel_VAS2023[Zaakcode],Tabel_prc_2023[[#This Row],[Zaakcode]],Tabel_VAS2023[Adviesofprocedure],"prc",Tabel_VAS2023[code_punten_forfait],11)</f>
        <v>0</v>
      </c>
      <c r="H79" s="92">
        <f>SUMIFS(Tabel_VAS2023[aantal_VAS],Tabel_VAS2023[Zaakcode],Tabel_prc_2023[[#This Row],[Zaakcode]],Tabel_VAS2023[Adviesofprocedure],"prc",Tabel_VAS2023[code_punten_forfait],13)</f>
        <v>0</v>
      </c>
      <c r="I79" s="92">
        <f>SUMIFS(Tabel_VAS2023[aantal_VAS],Tabel_VAS2023[Zaakcode],Tabel_prc_2023[[#This Row],[Zaakcode]],Tabel_VAS2023[Adviesofprocedure],"prc",Tabel_VAS2023[code_punten_forfait],14)</f>
        <v>0</v>
      </c>
      <c r="J79" s="91">
        <f>SUMIFS(Tabel_VAS2023[aantal_VAS],Tabel_VAS2023[Zaakcode],Tabel_prc_2023[[#This Row],[Zaakcode]],Tabel_VAS2023[Adviesofprocedure],"prc",Tabel_VAS2023[code_punten_forfait],12)</f>
        <v>0</v>
      </c>
      <c r="K79" s="92">
        <f>SUMIFS(Tabel_VAS2023[aantal_VAS],Tabel_VAS2023[Zaakcode],Tabel_prc_2023[[#This Row],[Zaakcode]],Tabel_VAS2023[Adviesofprocedure],"prc",Tabel_VAS2023[code_punten_forfait],15)</f>
        <v>0</v>
      </c>
      <c r="L79" s="92">
        <f>SUMIFS(Tabel_VAS2023[aantal_VAS],Tabel_VAS2023[Zaakcode],Tabel_prc_2023[[#This Row],[Zaakcode]],Tabel_VAS2023[Adviesofprocedure],"prc",Tabel_VAS2023[code_punten_forfait],16)</f>
        <v>0</v>
      </c>
      <c r="M79" s="35">
        <f>IFERROR(INDEX(Tabel_forfaits[forfait vanaf 2022],MATCH(Tabel_prc_2023[[#This Row],[Zaakcode]],Tabel_forfaits[Zaakcode],0)), "n.v.t.")</f>
        <v>13</v>
      </c>
      <c r="N79" s="35">
        <f>IFERROR(INDEX(Tabel_forfaits[forfait VdM II voor berekening],MATCH(Tabel_prc_2023[[#This Row],[Zaakcode]],Tabel_forfaits[Zaakcode],0)), "n.v.t.")</f>
        <v>12</v>
      </c>
      <c r="O79" s="36"/>
      <c r="P7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7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7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79" s="35">
        <f>IF(Tabel_prc_2023[[#This Row],[procedure - forfait VdM II]]="n.v.t.",0,  Tabel_prc_2023[[#This Row],[procedure - aantal 0 punten]] * (Tabel_prc_2023[[#This Row],[procedure - forfait VdM II]] - Tabel_prc_2023[[#This Row],[procedure - forfait VdM I]]))</f>
        <v>0</v>
      </c>
      <c r="T7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0</v>
      </c>
      <c r="U7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79" s="109">
        <f>Tabel_prc_2023[[#This Row],[procedure - totaal extra punten toev. VdM II t.o.v. huidig]] * tarief_huidig</f>
        <v>0</v>
      </c>
    </row>
    <row r="80" spans="1:22" x14ac:dyDescent="0.3">
      <c r="A80"/>
      <c r="B80" s="1" t="s">
        <v>75</v>
      </c>
      <c r="C80" s="34" t="s">
        <v>5</v>
      </c>
      <c r="D8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5058</v>
      </c>
      <c r="E8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58889.4</v>
      </c>
      <c r="F80" s="91">
        <f>SUMIFS(Tabel_VAS2023[aantal_VAS],Tabel_VAS2023[Zaakcode],Tabel_prc_2023[[#This Row],[Zaakcode]],Tabel_VAS2023[Adviesofprocedure],"prc",Tabel_VAS2023[code_punten_forfait],10)</f>
        <v>0</v>
      </c>
      <c r="G80" s="91">
        <f>SUMIFS(Tabel_VAS2023[aantal_VAS],Tabel_VAS2023[Zaakcode],Tabel_prc_2023[[#This Row],[Zaakcode]],Tabel_VAS2023[Adviesofprocedure],"prc",Tabel_VAS2023[code_punten_forfait],11)</f>
        <v>1046</v>
      </c>
      <c r="H80" s="92">
        <f>SUMIFS(Tabel_VAS2023[aantal_VAS],Tabel_VAS2023[Zaakcode],Tabel_prc_2023[[#This Row],[Zaakcode]],Tabel_VAS2023[Adviesofprocedure],"prc",Tabel_VAS2023[code_punten_forfait],13)</f>
        <v>16</v>
      </c>
      <c r="I80" s="92">
        <f>SUMIFS(Tabel_VAS2023[aantal_VAS],Tabel_VAS2023[Zaakcode],Tabel_prc_2023[[#This Row],[Zaakcode]],Tabel_VAS2023[Adviesofprocedure],"prc",Tabel_VAS2023[code_punten_forfait],14)</f>
        <v>10</v>
      </c>
      <c r="J80" s="91">
        <f>SUMIFS(Tabel_VAS2023[aantal_VAS],Tabel_VAS2023[Zaakcode],Tabel_prc_2023[[#This Row],[Zaakcode]],Tabel_VAS2023[Adviesofprocedure],"prc",Tabel_VAS2023[code_punten_forfait],12)</f>
        <v>3839</v>
      </c>
      <c r="K80" s="92">
        <f>SUMIFS(Tabel_VAS2023[aantal_VAS],Tabel_VAS2023[Zaakcode],Tabel_prc_2023[[#This Row],[Zaakcode]],Tabel_VAS2023[Adviesofprocedure],"prc",Tabel_VAS2023[code_punten_forfait],15)</f>
        <v>134</v>
      </c>
      <c r="L80" s="92">
        <f>SUMIFS(Tabel_VAS2023[aantal_VAS],Tabel_VAS2023[Zaakcode],Tabel_prc_2023[[#This Row],[Zaakcode]],Tabel_VAS2023[Adviesofprocedure],"prc",Tabel_VAS2023[code_punten_forfait],16)</f>
        <v>13</v>
      </c>
      <c r="M80" s="35">
        <f>IFERROR(INDEX(Tabel_forfaits[forfait vanaf 2022],MATCH(Tabel_prc_2023[[#This Row],[Zaakcode]],Tabel_forfaits[Zaakcode],0)), "n.v.t.")</f>
        <v>13</v>
      </c>
      <c r="N80" s="35">
        <f>IFERROR(INDEX(Tabel_forfaits[forfait VdM II voor berekening],MATCH(Tabel_prc_2023[[#This Row],[Zaakcode]],Tabel_forfaits[Zaakcode],0)), "n.v.t.")</f>
        <v>14</v>
      </c>
      <c r="O80" s="36"/>
      <c r="P8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4885</v>
      </c>
      <c r="Q8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150</v>
      </c>
      <c r="R8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34.5</v>
      </c>
      <c r="S80" s="35">
        <f>IF(Tabel_prc_2023[[#This Row],[procedure - forfait VdM II]]="n.v.t.",0,  Tabel_prc_2023[[#This Row],[procedure - aantal 0 punten]] * (Tabel_prc_2023[[#This Row],[procedure - forfait VdM II]] - Tabel_prc_2023[[#This Row],[procedure - forfait VdM I]]))</f>
        <v>0</v>
      </c>
      <c r="T8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5058</v>
      </c>
      <c r="U8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5069.5</v>
      </c>
      <c r="V80" s="109">
        <f>Tabel_prc_2023[[#This Row],[procedure - totaal extra punten toev. VdM II t.o.v. huidig]] * tarief_huidig</f>
        <v>776269.72224999999</v>
      </c>
    </row>
    <row r="81" spans="1:22" x14ac:dyDescent="0.3">
      <c r="A81"/>
      <c r="B81" s="1" t="s">
        <v>76</v>
      </c>
      <c r="C81" s="34" t="s">
        <v>5</v>
      </c>
      <c r="D8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3520</v>
      </c>
      <c r="E8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34880.899999999994</v>
      </c>
      <c r="F81" s="91">
        <f>SUMIFS(Tabel_VAS2023[aantal_VAS],Tabel_VAS2023[Zaakcode],Tabel_prc_2023[[#This Row],[Zaakcode]],Tabel_VAS2023[Adviesofprocedure],"prc",Tabel_VAS2023[code_punten_forfait],10)</f>
        <v>0</v>
      </c>
      <c r="G81" s="91">
        <f>SUMIFS(Tabel_VAS2023[aantal_VAS],Tabel_VAS2023[Zaakcode],Tabel_prc_2023[[#This Row],[Zaakcode]],Tabel_VAS2023[Adviesofprocedure],"prc",Tabel_VAS2023[code_punten_forfait],11)</f>
        <v>1000</v>
      </c>
      <c r="H81" s="92">
        <f>SUMIFS(Tabel_VAS2023[aantal_VAS],Tabel_VAS2023[Zaakcode],Tabel_prc_2023[[#This Row],[Zaakcode]],Tabel_VAS2023[Adviesofprocedure],"prc",Tabel_VAS2023[code_punten_forfait],13)</f>
        <v>5</v>
      </c>
      <c r="I81" s="92">
        <f>SUMIFS(Tabel_VAS2023[aantal_VAS],Tabel_VAS2023[Zaakcode],Tabel_prc_2023[[#This Row],[Zaakcode]],Tabel_VAS2023[Adviesofprocedure],"prc",Tabel_VAS2023[code_punten_forfait],14)</f>
        <v>19</v>
      </c>
      <c r="J81" s="91">
        <f>SUMIFS(Tabel_VAS2023[aantal_VAS],Tabel_VAS2023[Zaakcode],Tabel_prc_2023[[#This Row],[Zaakcode]],Tabel_VAS2023[Adviesofprocedure],"prc",Tabel_VAS2023[code_punten_forfait],12)</f>
        <v>2425</v>
      </c>
      <c r="K81" s="92">
        <f>SUMIFS(Tabel_VAS2023[aantal_VAS],Tabel_VAS2023[Zaakcode],Tabel_prc_2023[[#This Row],[Zaakcode]],Tabel_VAS2023[Adviesofprocedure],"prc",Tabel_VAS2023[code_punten_forfait],15)</f>
        <v>42</v>
      </c>
      <c r="L81" s="92">
        <f>SUMIFS(Tabel_VAS2023[aantal_VAS],Tabel_VAS2023[Zaakcode],Tabel_prc_2023[[#This Row],[Zaakcode]],Tabel_VAS2023[Adviesofprocedure],"prc",Tabel_VAS2023[code_punten_forfait],16)</f>
        <v>29</v>
      </c>
      <c r="M81" s="35">
        <f>IFERROR(INDEX(Tabel_forfaits[forfait vanaf 2022],MATCH(Tabel_prc_2023[[#This Row],[Zaakcode]],Tabel_forfaits[Zaakcode],0)), "n.v.t.")</f>
        <v>11</v>
      </c>
      <c r="N81" s="35">
        <f>IFERROR(INDEX(Tabel_forfaits[forfait VdM II voor berekening],MATCH(Tabel_prc_2023[[#This Row],[Zaakcode]],Tabel_forfaits[Zaakcode],0)), "n.v.t.")</f>
        <v>13</v>
      </c>
      <c r="O81" s="36"/>
      <c r="P8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6850</v>
      </c>
      <c r="Q8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94</v>
      </c>
      <c r="R8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144</v>
      </c>
      <c r="S81" s="35">
        <f>IF(Tabel_prc_2023[[#This Row],[procedure - forfait VdM II]]="n.v.t.",0,  Tabel_prc_2023[[#This Row],[procedure - aantal 0 punten]] * (Tabel_prc_2023[[#This Row],[procedure - forfait VdM II]] - Tabel_prc_2023[[#This Row],[procedure - forfait VdM I]]))</f>
        <v>0</v>
      </c>
      <c r="T8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3520</v>
      </c>
      <c r="U8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7088</v>
      </c>
      <c r="V81" s="109">
        <f>Tabel_prc_2023[[#This Row],[procedure - totaal extra punten toev. VdM II t.o.v. huidig]] * tarief_huidig</f>
        <v>1085353.544</v>
      </c>
    </row>
    <row r="82" spans="1:22" x14ac:dyDescent="0.3">
      <c r="A82"/>
      <c r="B82" s="1" t="s">
        <v>77</v>
      </c>
      <c r="C82" s="34" t="s">
        <v>5</v>
      </c>
      <c r="D8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6021</v>
      </c>
      <c r="E8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63140.200000000004</v>
      </c>
      <c r="F82" s="91">
        <f>SUMIFS(Tabel_VAS2023[aantal_VAS],Tabel_VAS2023[Zaakcode],Tabel_prc_2023[[#This Row],[Zaakcode]],Tabel_VAS2023[Adviesofprocedure],"prc",Tabel_VAS2023[code_punten_forfait],10)</f>
        <v>0</v>
      </c>
      <c r="G82" s="91">
        <f>SUMIFS(Tabel_VAS2023[aantal_VAS],Tabel_VAS2023[Zaakcode],Tabel_prc_2023[[#This Row],[Zaakcode]],Tabel_VAS2023[Adviesofprocedure],"prc",Tabel_VAS2023[code_punten_forfait],11)</f>
        <v>1864</v>
      </c>
      <c r="H82" s="92">
        <f>SUMIFS(Tabel_VAS2023[aantal_VAS],Tabel_VAS2023[Zaakcode],Tabel_prc_2023[[#This Row],[Zaakcode]],Tabel_VAS2023[Adviesofprocedure],"prc",Tabel_VAS2023[code_punten_forfait],13)</f>
        <v>4</v>
      </c>
      <c r="I82" s="92">
        <f>SUMIFS(Tabel_VAS2023[aantal_VAS],Tabel_VAS2023[Zaakcode],Tabel_prc_2023[[#This Row],[Zaakcode]],Tabel_VAS2023[Adviesofprocedure],"prc",Tabel_VAS2023[code_punten_forfait],14)</f>
        <v>31</v>
      </c>
      <c r="J82" s="91">
        <f>SUMIFS(Tabel_VAS2023[aantal_VAS],Tabel_VAS2023[Zaakcode],Tabel_prc_2023[[#This Row],[Zaakcode]],Tabel_VAS2023[Adviesofprocedure],"prc",Tabel_VAS2023[code_punten_forfait],12)</f>
        <v>4061</v>
      </c>
      <c r="K82" s="92">
        <f>SUMIFS(Tabel_VAS2023[aantal_VAS],Tabel_VAS2023[Zaakcode],Tabel_prc_2023[[#This Row],[Zaakcode]],Tabel_VAS2023[Adviesofprocedure],"prc",Tabel_VAS2023[code_punten_forfait],15)</f>
        <v>29</v>
      </c>
      <c r="L82" s="92">
        <f>SUMIFS(Tabel_VAS2023[aantal_VAS],Tabel_VAS2023[Zaakcode],Tabel_prc_2023[[#This Row],[Zaakcode]],Tabel_VAS2023[Adviesofprocedure],"prc",Tabel_VAS2023[code_punten_forfait],16)</f>
        <v>32</v>
      </c>
      <c r="M82" s="35">
        <f>IFERROR(INDEX(Tabel_forfaits[forfait vanaf 2022],MATCH(Tabel_prc_2023[[#This Row],[Zaakcode]],Tabel_forfaits[Zaakcode],0)), "n.v.t.")</f>
        <v>12</v>
      </c>
      <c r="N82" s="35">
        <f>IFERROR(INDEX(Tabel_forfaits[forfait VdM II voor berekening],MATCH(Tabel_prc_2023[[#This Row],[Zaakcode]],Tabel_forfaits[Zaakcode],0)), "n.v.t.")</f>
        <v>14</v>
      </c>
      <c r="O82" s="36"/>
      <c r="P8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11850</v>
      </c>
      <c r="Q8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66</v>
      </c>
      <c r="R8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189</v>
      </c>
      <c r="S82" s="35">
        <f>IF(Tabel_prc_2023[[#This Row],[procedure - forfait VdM II]]="n.v.t.",0,  Tabel_prc_2023[[#This Row],[procedure - aantal 0 punten]] * (Tabel_prc_2023[[#This Row],[procedure - forfait VdM II]] - Tabel_prc_2023[[#This Row],[procedure - forfait VdM I]]))</f>
        <v>0</v>
      </c>
      <c r="T8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6021</v>
      </c>
      <c r="U8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12105</v>
      </c>
      <c r="V82" s="109">
        <f>Tabel_prc_2023[[#This Row],[procedure - totaal extra punten toev. VdM II t.o.v. huidig]] * tarief_huidig</f>
        <v>1853584.1774999998</v>
      </c>
    </row>
    <row r="83" spans="1:22" x14ac:dyDescent="0.3">
      <c r="A83"/>
      <c r="B83" s="1" t="s">
        <v>78</v>
      </c>
      <c r="C83" s="34" t="s">
        <v>5</v>
      </c>
      <c r="D8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1823</v>
      </c>
      <c r="E8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11253.8</v>
      </c>
      <c r="F83" s="91">
        <f>SUMIFS(Tabel_VAS2023[aantal_VAS],Tabel_VAS2023[Zaakcode],Tabel_prc_2023[[#This Row],[Zaakcode]],Tabel_VAS2023[Adviesofprocedure],"prc",Tabel_VAS2023[code_punten_forfait],10)</f>
        <v>0</v>
      </c>
      <c r="G83" s="91">
        <f>SUMIFS(Tabel_VAS2023[aantal_VAS],Tabel_VAS2023[Zaakcode],Tabel_prc_2023[[#This Row],[Zaakcode]],Tabel_VAS2023[Adviesofprocedure],"prc",Tabel_VAS2023[code_punten_forfait],11)</f>
        <v>117</v>
      </c>
      <c r="H83" s="92">
        <f>SUMIFS(Tabel_VAS2023[aantal_VAS],Tabel_VAS2023[Zaakcode],Tabel_prc_2023[[#This Row],[Zaakcode]],Tabel_VAS2023[Adviesofprocedure],"prc",Tabel_VAS2023[code_punten_forfait],13)</f>
        <v>0</v>
      </c>
      <c r="I83" s="92">
        <f>SUMIFS(Tabel_VAS2023[aantal_VAS],Tabel_VAS2023[Zaakcode],Tabel_prc_2023[[#This Row],[Zaakcode]],Tabel_VAS2023[Adviesofprocedure],"prc",Tabel_VAS2023[code_punten_forfait],14)</f>
        <v>1</v>
      </c>
      <c r="J83" s="91">
        <f>SUMIFS(Tabel_VAS2023[aantal_VAS],Tabel_VAS2023[Zaakcode],Tabel_prc_2023[[#This Row],[Zaakcode]],Tabel_VAS2023[Adviesofprocedure],"prc",Tabel_VAS2023[code_punten_forfait],12)</f>
        <v>1560</v>
      </c>
      <c r="K83" s="92">
        <f>SUMIFS(Tabel_VAS2023[aantal_VAS],Tabel_VAS2023[Zaakcode],Tabel_prc_2023[[#This Row],[Zaakcode]],Tabel_VAS2023[Adviesofprocedure],"prc",Tabel_VAS2023[code_punten_forfait],15)</f>
        <v>7</v>
      </c>
      <c r="L83" s="91">
        <f>SUMIFS(Tabel_VAS2023[aantal_VAS],Tabel_VAS2023[Zaakcode],Tabel_prc_2023[[#This Row],[Zaakcode]],Tabel_VAS2023[Adviesofprocedure],"prc",Tabel_VAS2023[code_punten_forfait],16)</f>
        <v>138</v>
      </c>
      <c r="M83" s="35">
        <f>IFERROR(INDEX(Tabel_forfaits[forfait vanaf 2022],MATCH(Tabel_prc_2023[[#This Row],[Zaakcode]],Tabel_forfaits[Zaakcode],0)), "n.v.t.")</f>
        <v>7</v>
      </c>
      <c r="N83" s="35">
        <f>IFERROR(INDEX(Tabel_forfaits[forfait VdM II voor berekening],MATCH(Tabel_prc_2023[[#This Row],[Zaakcode]],Tabel_forfaits[Zaakcode],0)), "n.v.t.")</f>
        <v>6</v>
      </c>
      <c r="O83" s="36"/>
      <c r="P8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-1677</v>
      </c>
      <c r="Q8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-7</v>
      </c>
      <c r="R8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-208.5</v>
      </c>
      <c r="S83" s="35">
        <f>IF(Tabel_prc_2023[[#This Row],[procedure - forfait VdM II]]="n.v.t.",0,  Tabel_prc_2023[[#This Row],[procedure - aantal 0 punten]] * (Tabel_prc_2023[[#This Row],[procedure - forfait VdM II]] - Tabel_prc_2023[[#This Row],[procedure - forfait VdM I]]))</f>
        <v>0</v>
      </c>
      <c r="T8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1823</v>
      </c>
      <c r="U8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-1892.5</v>
      </c>
      <c r="V83" s="109">
        <f>Tabel_prc_2023[[#This Row],[procedure - totaal extra punten toev. VdM II t.o.v. huidig]] * tarief_huidig</f>
        <v>-289790.00874999998</v>
      </c>
    </row>
    <row r="84" spans="1:22" x14ac:dyDescent="0.3">
      <c r="A84"/>
      <c r="B84" s="1" t="s">
        <v>79</v>
      </c>
      <c r="C84" s="34" t="s">
        <v>5</v>
      </c>
      <c r="D8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9134</v>
      </c>
      <c r="E8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73254.100000000006</v>
      </c>
      <c r="F84" s="91">
        <f>SUMIFS(Tabel_VAS2023[aantal_VAS],Tabel_VAS2023[Zaakcode],Tabel_prc_2023[[#This Row],[Zaakcode]],Tabel_VAS2023[Adviesofprocedure],"prc",Tabel_VAS2023[code_punten_forfait],10)</f>
        <v>0</v>
      </c>
      <c r="G84" s="91">
        <f>SUMIFS(Tabel_VAS2023[aantal_VAS],Tabel_VAS2023[Zaakcode],Tabel_prc_2023[[#This Row],[Zaakcode]],Tabel_VAS2023[Adviesofprocedure],"prc",Tabel_VAS2023[code_punten_forfait],11)</f>
        <v>668</v>
      </c>
      <c r="H84" s="92">
        <f>SUMIFS(Tabel_VAS2023[aantal_VAS],Tabel_VAS2023[Zaakcode],Tabel_prc_2023[[#This Row],[Zaakcode]],Tabel_VAS2023[Adviesofprocedure],"prc",Tabel_VAS2023[code_punten_forfait],13)</f>
        <v>9</v>
      </c>
      <c r="I84" s="92">
        <f>SUMIFS(Tabel_VAS2023[aantal_VAS],Tabel_VAS2023[Zaakcode],Tabel_prc_2023[[#This Row],[Zaakcode]],Tabel_VAS2023[Adviesofprocedure],"prc",Tabel_VAS2023[code_punten_forfait],14)</f>
        <v>8</v>
      </c>
      <c r="J84" s="91">
        <f>SUMIFS(Tabel_VAS2023[aantal_VAS],Tabel_VAS2023[Zaakcode],Tabel_prc_2023[[#This Row],[Zaakcode]],Tabel_VAS2023[Adviesofprocedure],"prc",Tabel_VAS2023[code_punten_forfait],12)</f>
        <v>8231</v>
      </c>
      <c r="K84" s="92">
        <f>SUMIFS(Tabel_VAS2023[aantal_VAS],Tabel_VAS2023[Zaakcode],Tabel_prc_2023[[#This Row],[Zaakcode]],Tabel_VAS2023[Adviesofprocedure],"prc",Tabel_VAS2023[code_punten_forfait],15)</f>
        <v>87</v>
      </c>
      <c r="L84" s="92">
        <f>SUMIFS(Tabel_VAS2023[aantal_VAS],Tabel_VAS2023[Zaakcode],Tabel_prc_2023[[#This Row],[Zaakcode]],Tabel_VAS2023[Adviesofprocedure],"prc",Tabel_VAS2023[code_punten_forfait],16)</f>
        <v>131</v>
      </c>
      <c r="M84" s="35">
        <f>IFERROR(INDEX(Tabel_forfaits[forfait vanaf 2022],MATCH(Tabel_prc_2023[[#This Row],[Zaakcode]],Tabel_forfaits[Zaakcode],0)), "n.v.t.")</f>
        <v>8</v>
      </c>
      <c r="N84" s="35">
        <f>IFERROR(INDEX(Tabel_forfaits[forfait VdM II voor berekening],MATCH(Tabel_prc_2023[[#This Row],[Zaakcode]],Tabel_forfaits[Zaakcode],0)), "n.v.t.")</f>
        <v>8</v>
      </c>
      <c r="O84" s="36"/>
      <c r="P8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8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8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84" s="35">
        <f>IF(Tabel_prc_2023[[#This Row],[procedure - forfait VdM II]]="n.v.t.",0,  Tabel_prc_2023[[#This Row],[procedure - aantal 0 punten]] * (Tabel_prc_2023[[#This Row],[procedure - forfait VdM II]] - Tabel_prc_2023[[#This Row],[procedure - forfait VdM I]]))</f>
        <v>0</v>
      </c>
      <c r="T8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9134</v>
      </c>
      <c r="U8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84" s="109">
        <f>Tabel_prc_2023[[#This Row],[procedure - totaal extra punten toev. VdM II t.o.v. huidig]] * tarief_huidig</f>
        <v>0</v>
      </c>
    </row>
    <row r="85" spans="1:22" x14ac:dyDescent="0.3">
      <c r="A85"/>
      <c r="B85" s="1" t="s">
        <v>80</v>
      </c>
      <c r="C85" s="34" t="s">
        <v>5</v>
      </c>
      <c r="D8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467</v>
      </c>
      <c r="E8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8099</v>
      </c>
      <c r="F85" s="91">
        <f>SUMIFS(Tabel_VAS2023[aantal_VAS],Tabel_VAS2023[Zaakcode],Tabel_prc_2023[[#This Row],[Zaakcode]],Tabel_VAS2023[Adviesofprocedure],"prc",Tabel_VAS2023[code_punten_forfait],10)</f>
        <v>0</v>
      </c>
      <c r="G85" s="91">
        <f>SUMIFS(Tabel_VAS2023[aantal_VAS],Tabel_VAS2023[Zaakcode],Tabel_prc_2023[[#This Row],[Zaakcode]],Tabel_VAS2023[Adviesofprocedure],"prc",Tabel_VAS2023[code_punten_forfait],11)</f>
        <v>187</v>
      </c>
      <c r="H85" s="92">
        <f>SUMIFS(Tabel_VAS2023[aantal_VAS],Tabel_VAS2023[Zaakcode],Tabel_prc_2023[[#This Row],[Zaakcode]],Tabel_VAS2023[Adviesofprocedure],"prc",Tabel_VAS2023[code_punten_forfait],13)</f>
        <v>0</v>
      </c>
      <c r="I85" s="92">
        <f>SUMIFS(Tabel_VAS2023[aantal_VAS],Tabel_VAS2023[Zaakcode],Tabel_prc_2023[[#This Row],[Zaakcode]],Tabel_VAS2023[Adviesofprocedure],"prc",Tabel_VAS2023[code_punten_forfait],14)</f>
        <v>3</v>
      </c>
      <c r="J85" s="91">
        <f>SUMIFS(Tabel_VAS2023[aantal_VAS],Tabel_VAS2023[Zaakcode],Tabel_prc_2023[[#This Row],[Zaakcode]],Tabel_VAS2023[Adviesofprocedure],"prc",Tabel_VAS2023[code_punten_forfait],12)</f>
        <v>275</v>
      </c>
      <c r="K85" s="92">
        <f>SUMIFS(Tabel_VAS2023[aantal_VAS],Tabel_VAS2023[Zaakcode],Tabel_prc_2023[[#This Row],[Zaakcode]],Tabel_VAS2023[Adviesofprocedure],"prc",Tabel_VAS2023[code_punten_forfait],15)</f>
        <v>1</v>
      </c>
      <c r="L85" s="92">
        <f>SUMIFS(Tabel_VAS2023[aantal_VAS],Tabel_VAS2023[Zaakcode],Tabel_prc_2023[[#This Row],[Zaakcode]],Tabel_VAS2023[Adviesofprocedure],"prc",Tabel_VAS2023[code_punten_forfait],16)</f>
        <v>1</v>
      </c>
      <c r="M85" s="35">
        <f>IFERROR(INDEX(Tabel_forfaits[forfait vanaf 2022],MATCH(Tabel_prc_2023[[#This Row],[Zaakcode]],Tabel_forfaits[Zaakcode],0)), "n.v.t.")</f>
        <v>21</v>
      </c>
      <c r="N85" s="35">
        <f>IFERROR(INDEX(Tabel_forfaits[forfait VdM II voor berekening],MATCH(Tabel_prc_2023[[#This Row],[Zaakcode]],Tabel_forfaits[Zaakcode],0)), "n.v.t.")</f>
        <v>22</v>
      </c>
      <c r="O85" s="36"/>
      <c r="P8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462</v>
      </c>
      <c r="Q8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v>
      </c>
      <c r="R8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v>
      </c>
      <c r="S85" s="35">
        <f>IF(Tabel_prc_2023[[#This Row],[procedure - forfait VdM II]]="n.v.t.",0,  Tabel_prc_2023[[#This Row],[procedure - aantal 0 punten]] * (Tabel_prc_2023[[#This Row],[procedure - forfait VdM II]] - Tabel_prc_2023[[#This Row],[procedure - forfait VdM I]]))</f>
        <v>0</v>
      </c>
      <c r="T8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467</v>
      </c>
      <c r="U8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469</v>
      </c>
      <c r="V85" s="109">
        <f>Tabel_prc_2023[[#This Row],[procedure - totaal extra punten toev. VdM II t.o.v. huidig]] * tarief_huidig</f>
        <v>71815.859499999991</v>
      </c>
    </row>
    <row r="86" spans="1:22" x14ac:dyDescent="0.3">
      <c r="A86"/>
      <c r="B86" s="1" t="s">
        <v>81</v>
      </c>
      <c r="C86" s="34" t="s">
        <v>5</v>
      </c>
      <c r="D8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57</v>
      </c>
      <c r="E8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556.1</v>
      </c>
      <c r="F86" s="91">
        <f>SUMIFS(Tabel_VAS2023[aantal_VAS],Tabel_VAS2023[Zaakcode],Tabel_prc_2023[[#This Row],[Zaakcode]],Tabel_VAS2023[Adviesofprocedure],"prc",Tabel_VAS2023[code_punten_forfait],10)</f>
        <v>0</v>
      </c>
      <c r="G86" s="91">
        <f>SUMIFS(Tabel_VAS2023[aantal_VAS],Tabel_VAS2023[Zaakcode],Tabel_prc_2023[[#This Row],[Zaakcode]],Tabel_VAS2023[Adviesofprocedure],"prc",Tabel_VAS2023[code_punten_forfait],11)</f>
        <v>13</v>
      </c>
      <c r="H86" s="92">
        <f>SUMIFS(Tabel_VAS2023[aantal_VAS],Tabel_VAS2023[Zaakcode],Tabel_prc_2023[[#This Row],[Zaakcode]],Tabel_VAS2023[Adviesofprocedure],"prc",Tabel_VAS2023[code_punten_forfait],13)</f>
        <v>0</v>
      </c>
      <c r="I86" s="92">
        <f>SUMIFS(Tabel_VAS2023[aantal_VAS],Tabel_VAS2023[Zaakcode],Tabel_prc_2023[[#This Row],[Zaakcode]],Tabel_VAS2023[Adviesofprocedure],"prc",Tabel_VAS2023[code_punten_forfait],14)</f>
        <v>0</v>
      </c>
      <c r="J86" s="91">
        <f>SUMIFS(Tabel_VAS2023[aantal_VAS],Tabel_VAS2023[Zaakcode],Tabel_prc_2023[[#This Row],[Zaakcode]],Tabel_VAS2023[Adviesofprocedure],"prc",Tabel_VAS2023[code_punten_forfait],12)</f>
        <v>37</v>
      </c>
      <c r="K86" s="92">
        <f>SUMIFS(Tabel_VAS2023[aantal_VAS],Tabel_VAS2023[Zaakcode],Tabel_prc_2023[[#This Row],[Zaakcode]],Tabel_VAS2023[Adviesofprocedure],"prc",Tabel_VAS2023[code_punten_forfait],15)</f>
        <v>7</v>
      </c>
      <c r="L86" s="92">
        <f>SUMIFS(Tabel_VAS2023[aantal_VAS],Tabel_VAS2023[Zaakcode],Tabel_prc_2023[[#This Row],[Zaakcode]],Tabel_VAS2023[Adviesofprocedure],"prc",Tabel_VAS2023[code_punten_forfait],16)</f>
        <v>0</v>
      </c>
      <c r="M86" s="35">
        <f>IFERROR(INDEX(Tabel_forfaits[forfait vanaf 2022],MATCH(Tabel_prc_2023[[#This Row],[Zaakcode]],Tabel_forfaits[Zaakcode],0)), "n.v.t.")</f>
        <v>11</v>
      </c>
      <c r="N86" s="35">
        <f>IFERROR(INDEX(Tabel_forfaits[forfait VdM II voor berekening],MATCH(Tabel_prc_2023[[#This Row],[Zaakcode]],Tabel_forfaits[Zaakcode],0)), "n.v.t.")</f>
        <v>11</v>
      </c>
      <c r="O86" s="36"/>
      <c r="P8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8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8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86" s="35">
        <f>IF(Tabel_prc_2023[[#This Row],[procedure - forfait VdM II]]="n.v.t.",0,  Tabel_prc_2023[[#This Row],[procedure - aantal 0 punten]] * (Tabel_prc_2023[[#This Row],[procedure - forfait VdM II]] - Tabel_prc_2023[[#This Row],[procedure - forfait VdM I]]))</f>
        <v>0</v>
      </c>
      <c r="T8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57</v>
      </c>
      <c r="U8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86" s="109">
        <f>Tabel_prc_2023[[#This Row],[procedure - totaal extra punten toev. VdM II t.o.v. huidig]] * tarief_huidig</f>
        <v>0</v>
      </c>
    </row>
    <row r="87" spans="1:22" x14ac:dyDescent="0.3">
      <c r="A87"/>
      <c r="B87" s="1" t="s">
        <v>82</v>
      </c>
      <c r="C87" s="34" t="s">
        <v>5</v>
      </c>
      <c r="D8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1070</v>
      </c>
      <c r="E8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9550.1999999999989</v>
      </c>
      <c r="F87" s="91">
        <f>SUMIFS(Tabel_VAS2023[aantal_VAS],Tabel_VAS2023[Zaakcode],Tabel_prc_2023[[#This Row],[Zaakcode]],Tabel_VAS2023[Adviesofprocedure],"prc",Tabel_VAS2023[code_punten_forfait],10)</f>
        <v>0</v>
      </c>
      <c r="G87" s="91">
        <f>SUMIFS(Tabel_VAS2023[aantal_VAS],Tabel_VAS2023[Zaakcode],Tabel_prc_2023[[#This Row],[Zaakcode]],Tabel_VAS2023[Adviesofprocedure],"prc",Tabel_VAS2023[code_punten_forfait],11)</f>
        <v>355</v>
      </c>
      <c r="H87" s="92">
        <f>SUMIFS(Tabel_VAS2023[aantal_VAS],Tabel_VAS2023[Zaakcode],Tabel_prc_2023[[#This Row],[Zaakcode]],Tabel_VAS2023[Adviesofprocedure],"prc",Tabel_VAS2023[code_punten_forfait],13)</f>
        <v>9</v>
      </c>
      <c r="I87" s="92">
        <f>SUMIFS(Tabel_VAS2023[aantal_VAS],Tabel_VAS2023[Zaakcode],Tabel_prc_2023[[#This Row],[Zaakcode]],Tabel_VAS2023[Adviesofprocedure],"prc",Tabel_VAS2023[code_punten_forfait],14)</f>
        <v>4</v>
      </c>
      <c r="J87" s="91">
        <f>SUMIFS(Tabel_VAS2023[aantal_VAS],Tabel_VAS2023[Zaakcode],Tabel_prc_2023[[#This Row],[Zaakcode]],Tabel_VAS2023[Adviesofprocedure],"prc",Tabel_VAS2023[code_punten_forfait],12)</f>
        <v>681</v>
      </c>
      <c r="K87" s="92">
        <f>SUMIFS(Tabel_VAS2023[aantal_VAS],Tabel_VAS2023[Zaakcode],Tabel_prc_2023[[#This Row],[Zaakcode]],Tabel_VAS2023[Adviesofprocedure],"prc",Tabel_VAS2023[code_punten_forfait],15)</f>
        <v>20</v>
      </c>
      <c r="L87" s="92">
        <f>SUMIFS(Tabel_VAS2023[aantal_VAS],Tabel_VAS2023[Zaakcode],Tabel_prc_2023[[#This Row],[Zaakcode]],Tabel_VAS2023[Adviesofprocedure],"prc",Tabel_VAS2023[code_punten_forfait],16)</f>
        <v>1</v>
      </c>
      <c r="M87" s="35">
        <f>IFERROR(INDEX(Tabel_forfaits[forfait vanaf 2022],MATCH(Tabel_prc_2023[[#This Row],[Zaakcode]],Tabel_forfaits[Zaakcode],0)), "n.v.t.")</f>
        <v>10</v>
      </c>
      <c r="N87" s="35">
        <f>IFERROR(INDEX(Tabel_forfaits[forfait VdM II voor berekening],MATCH(Tabel_prc_2023[[#This Row],[Zaakcode]],Tabel_forfaits[Zaakcode],0)), "n.v.t.")</f>
        <v>10</v>
      </c>
      <c r="O87" s="36"/>
      <c r="P8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8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8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87" s="35">
        <f>IF(Tabel_prc_2023[[#This Row],[procedure - forfait VdM II]]="n.v.t.",0,  Tabel_prc_2023[[#This Row],[procedure - aantal 0 punten]] * (Tabel_prc_2023[[#This Row],[procedure - forfait VdM II]] - Tabel_prc_2023[[#This Row],[procedure - forfait VdM I]]))</f>
        <v>0</v>
      </c>
      <c r="T8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1070</v>
      </c>
      <c r="U8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87" s="109">
        <f>Tabel_prc_2023[[#This Row],[procedure - totaal extra punten toev. VdM II t.o.v. huidig]] * tarief_huidig</f>
        <v>0</v>
      </c>
    </row>
    <row r="88" spans="1:22" x14ac:dyDescent="0.3">
      <c r="A88"/>
      <c r="B88" s="1" t="s">
        <v>83</v>
      </c>
      <c r="C88" s="34" t="s">
        <v>5</v>
      </c>
      <c r="D8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177</v>
      </c>
      <c r="E8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1384</v>
      </c>
      <c r="F88" s="91">
        <f>SUMIFS(Tabel_VAS2023[aantal_VAS],Tabel_VAS2023[Zaakcode],Tabel_prc_2023[[#This Row],[Zaakcode]],Tabel_VAS2023[Adviesofprocedure],"prc",Tabel_VAS2023[code_punten_forfait],10)</f>
        <v>0</v>
      </c>
      <c r="G88" s="91">
        <f>SUMIFS(Tabel_VAS2023[aantal_VAS],Tabel_VAS2023[Zaakcode],Tabel_prc_2023[[#This Row],[Zaakcode]],Tabel_VAS2023[Adviesofprocedure],"prc",Tabel_VAS2023[code_punten_forfait],11)</f>
        <v>32</v>
      </c>
      <c r="H88" s="92">
        <f>SUMIFS(Tabel_VAS2023[aantal_VAS],Tabel_VAS2023[Zaakcode],Tabel_prc_2023[[#This Row],[Zaakcode]],Tabel_VAS2023[Adviesofprocedure],"prc",Tabel_VAS2023[code_punten_forfait],13)</f>
        <v>0</v>
      </c>
      <c r="I88" s="92">
        <f>SUMIFS(Tabel_VAS2023[aantal_VAS],Tabel_VAS2023[Zaakcode],Tabel_prc_2023[[#This Row],[Zaakcode]],Tabel_VAS2023[Adviesofprocedure],"prc",Tabel_VAS2023[code_punten_forfait],14)</f>
        <v>0</v>
      </c>
      <c r="J88" s="91">
        <f>SUMIFS(Tabel_VAS2023[aantal_VAS],Tabel_VAS2023[Zaakcode],Tabel_prc_2023[[#This Row],[Zaakcode]],Tabel_VAS2023[Adviesofprocedure],"prc",Tabel_VAS2023[code_punten_forfait],12)</f>
        <v>141</v>
      </c>
      <c r="K88" s="92">
        <f>SUMIFS(Tabel_VAS2023[aantal_VAS],Tabel_VAS2023[Zaakcode],Tabel_prc_2023[[#This Row],[Zaakcode]],Tabel_VAS2023[Adviesofprocedure],"prc",Tabel_VAS2023[code_punten_forfait],15)</f>
        <v>3</v>
      </c>
      <c r="L88" s="92">
        <f>SUMIFS(Tabel_VAS2023[aantal_VAS],Tabel_VAS2023[Zaakcode],Tabel_prc_2023[[#This Row],[Zaakcode]],Tabel_VAS2023[Adviesofprocedure],"prc",Tabel_VAS2023[code_punten_forfait],16)</f>
        <v>1</v>
      </c>
      <c r="M88" s="35">
        <f>IFERROR(INDEX(Tabel_forfaits[forfait vanaf 2022],MATCH(Tabel_prc_2023[[#This Row],[Zaakcode]],Tabel_forfaits[Zaakcode],0)), "n.v.t.")</f>
        <v>8</v>
      </c>
      <c r="N88" s="35">
        <f>IFERROR(INDEX(Tabel_forfaits[forfait VdM II voor berekening],MATCH(Tabel_prc_2023[[#This Row],[Zaakcode]],Tabel_forfaits[Zaakcode],0)), "n.v.t.")</f>
        <v>9</v>
      </c>
      <c r="O88" s="36"/>
      <c r="P8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173</v>
      </c>
      <c r="Q8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v>
      </c>
      <c r="R8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1.5</v>
      </c>
      <c r="S88" s="35">
        <f>IF(Tabel_prc_2023[[#This Row],[procedure - forfait VdM II]]="n.v.t.",0,  Tabel_prc_2023[[#This Row],[procedure - aantal 0 punten]] * (Tabel_prc_2023[[#This Row],[procedure - forfait VdM II]] - Tabel_prc_2023[[#This Row],[procedure - forfait VdM I]]))</f>
        <v>0</v>
      </c>
      <c r="T8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177</v>
      </c>
      <c r="U8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177.5</v>
      </c>
      <c r="V88" s="109">
        <f>Tabel_prc_2023[[#This Row],[procedure - totaal extra punten toev. VdM II t.o.v. huidig]] * tarief_huidig</f>
        <v>27179.776249999999</v>
      </c>
    </row>
    <row r="89" spans="1:22" x14ac:dyDescent="0.3">
      <c r="A89"/>
      <c r="B89" s="1" t="s">
        <v>84</v>
      </c>
      <c r="C89" s="34" t="s">
        <v>5</v>
      </c>
      <c r="D8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791</v>
      </c>
      <c r="E8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6885.3</v>
      </c>
      <c r="F89" s="91">
        <f>SUMIFS(Tabel_VAS2023[aantal_VAS],Tabel_VAS2023[Zaakcode],Tabel_prc_2023[[#This Row],[Zaakcode]],Tabel_VAS2023[Adviesofprocedure],"prc",Tabel_VAS2023[code_punten_forfait],10)</f>
        <v>0</v>
      </c>
      <c r="G89" s="91">
        <f>SUMIFS(Tabel_VAS2023[aantal_VAS],Tabel_VAS2023[Zaakcode],Tabel_prc_2023[[#This Row],[Zaakcode]],Tabel_VAS2023[Adviesofprocedure],"prc",Tabel_VAS2023[code_punten_forfait],11)</f>
        <v>122</v>
      </c>
      <c r="H89" s="92">
        <f>SUMIFS(Tabel_VAS2023[aantal_VAS],Tabel_VAS2023[Zaakcode],Tabel_prc_2023[[#This Row],[Zaakcode]],Tabel_VAS2023[Adviesofprocedure],"prc",Tabel_VAS2023[code_punten_forfait],13)</f>
        <v>16</v>
      </c>
      <c r="I89" s="92">
        <f>SUMIFS(Tabel_VAS2023[aantal_VAS],Tabel_VAS2023[Zaakcode],Tabel_prc_2023[[#This Row],[Zaakcode]],Tabel_VAS2023[Adviesofprocedure],"prc",Tabel_VAS2023[code_punten_forfait],14)</f>
        <v>0</v>
      </c>
      <c r="J89" s="91">
        <f>SUMIFS(Tabel_VAS2023[aantal_VAS],Tabel_VAS2023[Zaakcode],Tabel_prc_2023[[#This Row],[Zaakcode]],Tabel_VAS2023[Adviesofprocedure],"prc",Tabel_VAS2023[code_punten_forfait],12)</f>
        <v>560</v>
      </c>
      <c r="K89" s="92">
        <f>SUMIFS(Tabel_VAS2023[aantal_VAS],Tabel_VAS2023[Zaakcode],Tabel_prc_2023[[#This Row],[Zaakcode]],Tabel_VAS2023[Adviesofprocedure],"prc",Tabel_VAS2023[code_punten_forfait],15)</f>
        <v>93</v>
      </c>
      <c r="L89" s="92">
        <f>SUMIFS(Tabel_VAS2023[aantal_VAS],Tabel_VAS2023[Zaakcode],Tabel_prc_2023[[#This Row],[Zaakcode]],Tabel_VAS2023[Adviesofprocedure],"prc",Tabel_VAS2023[code_punten_forfait],16)</f>
        <v>0</v>
      </c>
      <c r="M89" s="35">
        <f>IFERROR(INDEX(Tabel_forfaits[forfait vanaf 2022],MATCH(Tabel_prc_2023[[#This Row],[Zaakcode]],Tabel_forfaits[Zaakcode],0)), "n.v.t.")</f>
        <v>10</v>
      </c>
      <c r="N89" s="35">
        <f>IFERROR(INDEX(Tabel_forfaits[forfait VdM II voor berekening],MATCH(Tabel_prc_2023[[#This Row],[Zaakcode]],Tabel_forfaits[Zaakcode],0)), "n.v.t.")</f>
        <v>13</v>
      </c>
      <c r="O89" s="36"/>
      <c r="P8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2046</v>
      </c>
      <c r="Q8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327</v>
      </c>
      <c r="R8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89" s="35">
        <f>IF(Tabel_prc_2023[[#This Row],[procedure - forfait VdM II]]="n.v.t.",0,  Tabel_prc_2023[[#This Row],[procedure - aantal 0 punten]] * (Tabel_prc_2023[[#This Row],[procedure - forfait VdM II]] - Tabel_prc_2023[[#This Row],[procedure - forfait VdM I]]))</f>
        <v>0</v>
      </c>
      <c r="T8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791</v>
      </c>
      <c r="U8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2373</v>
      </c>
      <c r="V89" s="109">
        <f>Tabel_prc_2023[[#This Row],[procedure - totaal extra punten toev. VdM II t.o.v. huidig]] * tarief_huidig</f>
        <v>363366.81149999995</v>
      </c>
    </row>
    <row r="90" spans="1:22" x14ac:dyDescent="0.3">
      <c r="A90"/>
      <c r="B90" s="1" t="s">
        <v>85</v>
      </c>
      <c r="C90" s="34" t="s">
        <v>5</v>
      </c>
      <c r="D9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729</v>
      </c>
      <c r="E9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7198.2</v>
      </c>
      <c r="F90" s="91">
        <f>SUMIFS(Tabel_VAS2023[aantal_VAS],Tabel_VAS2023[Zaakcode],Tabel_prc_2023[[#This Row],[Zaakcode]],Tabel_VAS2023[Adviesofprocedure],"prc",Tabel_VAS2023[code_punten_forfait],10)</f>
        <v>0</v>
      </c>
      <c r="G90" s="91">
        <f>SUMIFS(Tabel_VAS2023[aantal_VAS],Tabel_VAS2023[Zaakcode],Tabel_prc_2023[[#This Row],[Zaakcode]],Tabel_VAS2023[Adviesofprocedure],"prc",Tabel_VAS2023[code_punten_forfait],11)</f>
        <v>0</v>
      </c>
      <c r="H90" s="92">
        <f>SUMIFS(Tabel_VAS2023[aantal_VAS],Tabel_VAS2023[Zaakcode],Tabel_prc_2023[[#This Row],[Zaakcode]],Tabel_VAS2023[Adviesofprocedure],"prc",Tabel_VAS2023[code_punten_forfait],13)</f>
        <v>0</v>
      </c>
      <c r="I90" s="92">
        <f>SUMIFS(Tabel_VAS2023[aantal_VAS],Tabel_VAS2023[Zaakcode],Tabel_prc_2023[[#This Row],[Zaakcode]],Tabel_VAS2023[Adviesofprocedure],"prc",Tabel_VAS2023[code_punten_forfait],14)</f>
        <v>0</v>
      </c>
      <c r="J90" s="91">
        <f>SUMIFS(Tabel_VAS2023[aantal_VAS],Tabel_VAS2023[Zaakcode],Tabel_prc_2023[[#This Row],[Zaakcode]],Tabel_VAS2023[Adviesofprocedure],"prc",Tabel_VAS2023[code_punten_forfait],12)</f>
        <v>683</v>
      </c>
      <c r="K90" s="92">
        <f>SUMIFS(Tabel_VAS2023[aantal_VAS],Tabel_VAS2023[Zaakcode],Tabel_prc_2023[[#This Row],[Zaakcode]],Tabel_VAS2023[Adviesofprocedure],"prc",Tabel_VAS2023[code_punten_forfait],15)</f>
        <v>44</v>
      </c>
      <c r="L90" s="92">
        <f>SUMIFS(Tabel_VAS2023[aantal_VAS],Tabel_VAS2023[Zaakcode],Tabel_prc_2023[[#This Row],[Zaakcode]],Tabel_VAS2023[Adviesofprocedure],"prc",Tabel_VAS2023[code_punten_forfait],16)</f>
        <v>2</v>
      </c>
      <c r="M90" s="35">
        <f>IFERROR(INDEX(Tabel_forfaits[forfait vanaf 2022],MATCH(Tabel_prc_2023[[#This Row],[Zaakcode]],Tabel_forfaits[Zaakcode],0)), "n.v.t.")</f>
        <v>10</v>
      </c>
      <c r="N90" s="35">
        <f>IFERROR(INDEX(Tabel_forfaits[forfait VdM II voor berekening],MATCH(Tabel_prc_2023[[#This Row],[Zaakcode]],Tabel_forfaits[Zaakcode],0)), "n.v.t.")</f>
        <v>13</v>
      </c>
      <c r="O90" s="36"/>
      <c r="P9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2049</v>
      </c>
      <c r="Q9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132</v>
      </c>
      <c r="R9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9</v>
      </c>
      <c r="S90" s="35">
        <f>IF(Tabel_prc_2023[[#This Row],[procedure - forfait VdM II]]="n.v.t.",0,  Tabel_prc_2023[[#This Row],[procedure - aantal 0 punten]] * (Tabel_prc_2023[[#This Row],[procedure - forfait VdM II]] - Tabel_prc_2023[[#This Row],[procedure - forfait VdM I]]))</f>
        <v>0</v>
      </c>
      <c r="T9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729</v>
      </c>
      <c r="U9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2190</v>
      </c>
      <c r="V90" s="109">
        <f>Tabel_prc_2023[[#This Row],[procedure - totaal extra punten toev. VdM II t.o.v. huidig]] * tarief_huidig</f>
        <v>335344.84499999997</v>
      </c>
    </row>
    <row r="91" spans="1:22" x14ac:dyDescent="0.3">
      <c r="A91"/>
      <c r="B91" s="1" t="s">
        <v>86</v>
      </c>
      <c r="C91" s="34" t="s">
        <v>5</v>
      </c>
      <c r="D9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3624</v>
      </c>
      <c r="E9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41470.700000000004</v>
      </c>
      <c r="F91" s="91">
        <f>SUMIFS(Tabel_VAS2023[aantal_VAS],Tabel_VAS2023[Zaakcode],Tabel_prc_2023[[#This Row],[Zaakcode]],Tabel_VAS2023[Adviesofprocedure],"prc",Tabel_VAS2023[code_punten_forfait],10)</f>
        <v>0</v>
      </c>
      <c r="G91" s="91">
        <f>SUMIFS(Tabel_VAS2023[aantal_VAS],Tabel_VAS2023[Zaakcode],Tabel_prc_2023[[#This Row],[Zaakcode]],Tabel_VAS2023[Adviesofprocedure],"prc",Tabel_VAS2023[code_punten_forfait],11)</f>
        <v>409</v>
      </c>
      <c r="H91" s="92">
        <f>SUMIFS(Tabel_VAS2023[aantal_VAS],Tabel_VAS2023[Zaakcode],Tabel_prc_2023[[#This Row],[Zaakcode]],Tabel_VAS2023[Adviesofprocedure],"prc",Tabel_VAS2023[code_punten_forfait],13)</f>
        <v>3</v>
      </c>
      <c r="I91" s="92">
        <f>SUMIFS(Tabel_VAS2023[aantal_VAS],Tabel_VAS2023[Zaakcode],Tabel_prc_2023[[#This Row],[Zaakcode]],Tabel_VAS2023[Adviesofprocedure],"prc",Tabel_VAS2023[code_punten_forfait],14)</f>
        <v>4</v>
      </c>
      <c r="J91" s="91">
        <f>SUMIFS(Tabel_VAS2023[aantal_VAS],Tabel_VAS2023[Zaakcode],Tabel_prc_2023[[#This Row],[Zaakcode]],Tabel_VAS2023[Adviesofprocedure],"prc",Tabel_VAS2023[code_punten_forfait],12)</f>
        <v>3172</v>
      </c>
      <c r="K91" s="92">
        <f>SUMIFS(Tabel_VAS2023[aantal_VAS],Tabel_VAS2023[Zaakcode],Tabel_prc_2023[[#This Row],[Zaakcode]],Tabel_VAS2023[Adviesofprocedure],"prc",Tabel_VAS2023[code_punten_forfait],15)</f>
        <v>18</v>
      </c>
      <c r="L91" s="92">
        <f>SUMIFS(Tabel_VAS2023[aantal_VAS],Tabel_VAS2023[Zaakcode],Tabel_prc_2023[[#This Row],[Zaakcode]],Tabel_VAS2023[Adviesofprocedure],"prc",Tabel_VAS2023[code_punten_forfait],16)</f>
        <v>18</v>
      </c>
      <c r="M91" s="35">
        <f>IFERROR(INDEX(Tabel_forfaits[forfait vanaf 2022],MATCH(Tabel_prc_2023[[#This Row],[Zaakcode]],Tabel_forfaits[Zaakcode],0)), "n.v.t.")</f>
        <v>12</v>
      </c>
      <c r="N91" s="35">
        <f>IFERROR(INDEX(Tabel_forfaits[forfait VdM II voor berekening],MATCH(Tabel_prc_2023[[#This Row],[Zaakcode]],Tabel_forfaits[Zaakcode],0)), "n.v.t.")</f>
        <v>13</v>
      </c>
      <c r="O91" s="36"/>
      <c r="P9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3581</v>
      </c>
      <c r="Q9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21</v>
      </c>
      <c r="R9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33</v>
      </c>
      <c r="S91" s="35">
        <f>IF(Tabel_prc_2023[[#This Row],[procedure - forfait VdM II]]="n.v.t.",0,  Tabel_prc_2023[[#This Row],[procedure - aantal 0 punten]] * (Tabel_prc_2023[[#This Row],[procedure - forfait VdM II]] - Tabel_prc_2023[[#This Row],[procedure - forfait VdM I]]))</f>
        <v>0</v>
      </c>
      <c r="T9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3624</v>
      </c>
      <c r="U9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3635</v>
      </c>
      <c r="V91" s="109">
        <f>Tabel_prc_2023[[#This Row],[procedure - totaal extra punten toev. VdM II t.o.v. huidig]] * tarief_huidig</f>
        <v>556611.1925</v>
      </c>
    </row>
    <row r="92" spans="1:22" x14ac:dyDescent="0.3">
      <c r="A92"/>
      <c r="B92" s="1" t="s">
        <v>87</v>
      </c>
      <c r="C92" s="34" t="s">
        <v>5</v>
      </c>
      <c r="D9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324</v>
      </c>
      <c r="E9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3990</v>
      </c>
      <c r="F92" s="91">
        <f>SUMIFS(Tabel_VAS2023[aantal_VAS],Tabel_VAS2023[Zaakcode],Tabel_prc_2023[[#This Row],[Zaakcode]],Tabel_VAS2023[Adviesofprocedure],"prc",Tabel_VAS2023[code_punten_forfait],10)</f>
        <v>9</v>
      </c>
      <c r="G92" s="91">
        <f>SUMIFS(Tabel_VAS2023[aantal_VAS],Tabel_VAS2023[Zaakcode],Tabel_prc_2023[[#This Row],[Zaakcode]],Tabel_VAS2023[Adviesofprocedure],"prc",Tabel_VAS2023[code_punten_forfait],11)</f>
        <v>63</v>
      </c>
      <c r="H92" s="92">
        <f>SUMIFS(Tabel_VAS2023[aantal_VAS],Tabel_VAS2023[Zaakcode],Tabel_prc_2023[[#This Row],[Zaakcode]],Tabel_VAS2023[Adviesofprocedure],"prc",Tabel_VAS2023[code_punten_forfait],13)</f>
        <v>0</v>
      </c>
      <c r="I92" s="92">
        <f>SUMIFS(Tabel_VAS2023[aantal_VAS],Tabel_VAS2023[Zaakcode],Tabel_prc_2023[[#This Row],[Zaakcode]],Tabel_VAS2023[Adviesofprocedure],"prc",Tabel_VAS2023[code_punten_forfait],14)</f>
        <v>0</v>
      </c>
      <c r="J92" s="91">
        <f>SUMIFS(Tabel_VAS2023[aantal_VAS],Tabel_VAS2023[Zaakcode],Tabel_prc_2023[[#This Row],[Zaakcode]],Tabel_VAS2023[Adviesofprocedure],"prc",Tabel_VAS2023[code_punten_forfait],12)</f>
        <v>208</v>
      </c>
      <c r="K92" s="92">
        <f>SUMIFS(Tabel_VAS2023[aantal_VAS],Tabel_VAS2023[Zaakcode],Tabel_prc_2023[[#This Row],[Zaakcode]],Tabel_VAS2023[Adviesofprocedure],"prc",Tabel_VAS2023[code_punten_forfait],15)</f>
        <v>41</v>
      </c>
      <c r="L92" s="92">
        <f>SUMIFS(Tabel_VAS2023[aantal_VAS],Tabel_VAS2023[Zaakcode],Tabel_prc_2023[[#This Row],[Zaakcode]],Tabel_VAS2023[Adviesofprocedure],"prc",Tabel_VAS2023[code_punten_forfait],16)</f>
        <v>3</v>
      </c>
      <c r="M92" s="35">
        <f>IFERROR(INDEX(Tabel_forfaits[forfait vanaf 2022],MATCH(Tabel_prc_2023[[#This Row],[Zaakcode]],Tabel_forfaits[Zaakcode],0)), "n.v.t.")</f>
        <v>15</v>
      </c>
      <c r="N92" s="35">
        <f>IFERROR(INDEX(Tabel_forfaits[forfait VdM II voor berekening],MATCH(Tabel_prc_2023[[#This Row],[Zaakcode]],Tabel_forfaits[Zaakcode],0)), "n.v.t.")</f>
        <v>17</v>
      </c>
      <c r="O92" s="36"/>
      <c r="P9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542</v>
      </c>
      <c r="Q9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82</v>
      </c>
      <c r="R9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9</v>
      </c>
      <c r="S92" s="35">
        <f>IF(Tabel_prc_2023[[#This Row],[procedure - forfait VdM II]]="n.v.t.",0,  Tabel_prc_2023[[#This Row],[procedure - aantal 0 punten]] * (Tabel_prc_2023[[#This Row],[procedure - forfait VdM II]] - Tabel_prc_2023[[#This Row],[procedure - forfait VdM I]]))</f>
        <v>18</v>
      </c>
      <c r="T9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315</v>
      </c>
      <c r="U9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633</v>
      </c>
      <c r="V92" s="109">
        <f>Tabel_prc_2023[[#This Row],[procedure - totaal extra punten toev. VdM II t.o.v. huidig]] * tarief_huidig</f>
        <v>96928.441499999986</v>
      </c>
    </row>
    <row r="93" spans="1:22" x14ac:dyDescent="0.3">
      <c r="A93"/>
      <c r="B93" s="1" t="s">
        <v>88</v>
      </c>
      <c r="C93" s="34" t="s">
        <v>5</v>
      </c>
      <c r="D9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2805</v>
      </c>
      <c r="E9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16574.5</v>
      </c>
      <c r="F93" s="91">
        <f>SUMIFS(Tabel_VAS2023[aantal_VAS],Tabel_VAS2023[Zaakcode],Tabel_prc_2023[[#This Row],[Zaakcode]],Tabel_VAS2023[Adviesofprocedure],"prc",Tabel_VAS2023[code_punten_forfait],10)</f>
        <v>0</v>
      </c>
      <c r="G93" s="91">
        <f>SUMIFS(Tabel_VAS2023[aantal_VAS],Tabel_VAS2023[Zaakcode],Tabel_prc_2023[[#This Row],[Zaakcode]],Tabel_VAS2023[Adviesofprocedure],"prc",Tabel_VAS2023[code_punten_forfait],11)</f>
        <v>269</v>
      </c>
      <c r="H93" s="92">
        <f>SUMIFS(Tabel_VAS2023[aantal_VAS],Tabel_VAS2023[Zaakcode],Tabel_prc_2023[[#This Row],[Zaakcode]],Tabel_VAS2023[Adviesofprocedure],"prc",Tabel_VAS2023[code_punten_forfait],13)</f>
        <v>8</v>
      </c>
      <c r="I93" s="92">
        <f>SUMIFS(Tabel_VAS2023[aantal_VAS],Tabel_VAS2023[Zaakcode],Tabel_prc_2023[[#This Row],[Zaakcode]],Tabel_VAS2023[Adviesofprocedure],"prc",Tabel_VAS2023[code_punten_forfait],14)</f>
        <v>8</v>
      </c>
      <c r="J93" s="91">
        <f>SUMIFS(Tabel_VAS2023[aantal_VAS],Tabel_VAS2023[Zaakcode],Tabel_prc_2023[[#This Row],[Zaakcode]],Tabel_VAS2023[Adviesofprocedure],"prc",Tabel_VAS2023[code_punten_forfait],12)</f>
        <v>2291</v>
      </c>
      <c r="K93" s="92">
        <f>SUMIFS(Tabel_VAS2023[aantal_VAS],Tabel_VAS2023[Zaakcode],Tabel_prc_2023[[#This Row],[Zaakcode]],Tabel_VAS2023[Adviesofprocedure],"prc",Tabel_VAS2023[code_punten_forfait],15)</f>
        <v>173</v>
      </c>
      <c r="L93" s="92">
        <f>SUMIFS(Tabel_VAS2023[aantal_VAS],Tabel_VAS2023[Zaakcode],Tabel_prc_2023[[#This Row],[Zaakcode]],Tabel_VAS2023[Adviesofprocedure],"prc",Tabel_VAS2023[code_punten_forfait],16)</f>
        <v>56</v>
      </c>
      <c r="M93" s="35">
        <f>IFERROR(INDEX(Tabel_forfaits[forfait vanaf 2022],MATCH(Tabel_prc_2023[[#This Row],[Zaakcode]],Tabel_forfaits[Zaakcode],0)), "n.v.t.")</f>
        <v>6</v>
      </c>
      <c r="N93" s="35">
        <f>IFERROR(INDEX(Tabel_forfaits[forfait VdM II voor berekening],MATCH(Tabel_prc_2023[[#This Row],[Zaakcode]],Tabel_forfaits[Zaakcode],0)), "n.v.t.")</f>
        <v>6</v>
      </c>
      <c r="O93" s="36"/>
      <c r="P9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9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9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93" s="35">
        <f>IF(Tabel_prc_2023[[#This Row],[procedure - forfait VdM II]]="n.v.t.",0,  Tabel_prc_2023[[#This Row],[procedure - aantal 0 punten]] * (Tabel_prc_2023[[#This Row],[procedure - forfait VdM II]] - Tabel_prc_2023[[#This Row],[procedure - forfait VdM I]]))</f>
        <v>0</v>
      </c>
      <c r="T9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2805</v>
      </c>
      <c r="U9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93" s="109">
        <f>Tabel_prc_2023[[#This Row],[procedure - totaal extra punten toev. VdM II t.o.v. huidig]] * tarief_huidig</f>
        <v>0</v>
      </c>
    </row>
    <row r="94" spans="1:22" x14ac:dyDescent="0.3">
      <c r="A94"/>
      <c r="B94" s="1" t="s">
        <v>89</v>
      </c>
      <c r="C94" s="34" t="s">
        <v>5</v>
      </c>
      <c r="D9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3874</v>
      </c>
      <c r="E9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26198.6</v>
      </c>
      <c r="F94" s="91">
        <f>SUMIFS(Tabel_VAS2023[aantal_VAS],Tabel_VAS2023[Zaakcode],Tabel_prc_2023[[#This Row],[Zaakcode]],Tabel_VAS2023[Adviesofprocedure],"prc",Tabel_VAS2023[code_punten_forfait],10)</f>
        <v>1</v>
      </c>
      <c r="G94" s="91">
        <f>SUMIFS(Tabel_VAS2023[aantal_VAS],Tabel_VAS2023[Zaakcode],Tabel_prc_2023[[#This Row],[Zaakcode]],Tabel_VAS2023[Adviesofprocedure],"prc",Tabel_VAS2023[code_punten_forfait],11)</f>
        <v>278</v>
      </c>
      <c r="H94" s="92">
        <f>SUMIFS(Tabel_VAS2023[aantal_VAS],Tabel_VAS2023[Zaakcode],Tabel_prc_2023[[#This Row],[Zaakcode]],Tabel_VAS2023[Adviesofprocedure],"prc",Tabel_VAS2023[code_punten_forfait],13)</f>
        <v>53</v>
      </c>
      <c r="I94" s="92">
        <f>SUMIFS(Tabel_VAS2023[aantal_VAS],Tabel_VAS2023[Zaakcode],Tabel_prc_2023[[#This Row],[Zaakcode]],Tabel_VAS2023[Adviesofprocedure],"prc",Tabel_VAS2023[code_punten_forfait],14)</f>
        <v>6</v>
      </c>
      <c r="J94" s="91">
        <f>SUMIFS(Tabel_VAS2023[aantal_VAS],Tabel_VAS2023[Zaakcode],Tabel_prc_2023[[#This Row],[Zaakcode]],Tabel_VAS2023[Adviesofprocedure],"prc",Tabel_VAS2023[code_punten_forfait],12)</f>
        <v>3178</v>
      </c>
      <c r="K94" s="92">
        <f>SUMIFS(Tabel_VAS2023[aantal_VAS],Tabel_VAS2023[Zaakcode],Tabel_prc_2023[[#This Row],[Zaakcode]],Tabel_VAS2023[Adviesofprocedure],"prc",Tabel_VAS2023[code_punten_forfait],15)</f>
        <v>337</v>
      </c>
      <c r="L94" s="92">
        <f>SUMIFS(Tabel_VAS2023[aantal_VAS],Tabel_VAS2023[Zaakcode],Tabel_prc_2023[[#This Row],[Zaakcode]],Tabel_VAS2023[Adviesofprocedure],"prc",Tabel_VAS2023[code_punten_forfait],16)</f>
        <v>21</v>
      </c>
      <c r="M94" s="35">
        <f>IFERROR(INDEX(Tabel_forfaits[forfait vanaf 2022],MATCH(Tabel_prc_2023[[#This Row],[Zaakcode]],Tabel_forfaits[Zaakcode],0)), "n.v.t.")</f>
        <v>7</v>
      </c>
      <c r="N94" s="35">
        <f>IFERROR(INDEX(Tabel_forfaits[forfait VdM II voor berekening],MATCH(Tabel_prc_2023[[#This Row],[Zaakcode]],Tabel_forfaits[Zaakcode],0)), "n.v.t.")</f>
        <v>7</v>
      </c>
      <c r="O94" s="36"/>
      <c r="P9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9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9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94" s="35">
        <f>IF(Tabel_prc_2023[[#This Row],[procedure - forfait VdM II]]="n.v.t.",0,  Tabel_prc_2023[[#This Row],[procedure - aantal 0 punten]] * (Tabel_prc_2023[[#This Row],[procedure - forfait VdM II]] - Tabel_prc_2023[[#This Row],[procedure - forfait VdM I]]))</f>
        <v>0</v>
      </c>
      <c r="T9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3873</v>
      </c>
      <c r="U9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94" s="109">
        <f>Tabel_prc_2023[[#This Row],[procedure - totaal extra punten toev. VdM II t.o.v. huidig]] * tarief_huidig</f>
        <v>0</v>
      </c>
    </row>
    <row r="95" spans="1:22" x14ac:dyDescent="0.3">
      <c r="A95"/>
      <c r="B95" s="1" t="s">
        <v>90</v>
      </c>
      <c r="C95" s="34" t="s">
        <v>5</v>
      </c>
      <c r="D9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1949</v>
      </c>
      <c r="E9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11388</v>
      </c>
      <c r="F95" s="91">
        <f>SUMIFS(Tabel_VAS2023[aantal_VAS],Tabel_VAS2023[Zaakcode],Tabel_prc_2023[[#This Row],[Zaakcode]],Tabel_VAS2023[Adviesofprocedure],"prc",Tabel_VAS2023[code_punten_forfait],10)</f>
        <v>0</v>
      </c>
      <c r="G95" s="91">
        <f>SUMIFS(Tabel_VAS2023[aantal_VAS],Tabel_VAS2023[Zaakcode],Tabel_prc_2023[[#This Row],[Zaakcode]],Tabel_VAS2023[Adviesofprocedure],"prc",Tabel_VAS2023[code_punten_forfait],11)</f>
        <v>224</v>
      </c>
      <c r="H95" s="92">
        <f>SUMIFS(Tabel_VAS2023[aantal_VAS],Tabel_VAS2023[Zaakcode],Tabel_prc_2023[[#This Row],[Zaakcode]],Tabel_VAS2023[Adviesofprocedure],"prc",Tabel_VAS2023[code_punten_forfait],13)</f>
        <v>2</v>
      </c>
      <c r="I95" s="92">
        <f>SUMIFS(Tabel_VAS2023[aantal_VAS],Tabel_VAS2023[Zaakcode],Tabel_prc_2023[[#This Row],[Zaakcode]],Tabel_VAS2023[Adviesofprocedure],"prc",Tabel_VAS2023[code_punten_forfait],14)</f>
        <v>6</v>
      </c>
      <c r="J95" s="91">
        <f>SUMIFS(Tabel_VAS2023[aantal_VAS],Tabel_VAS2023[Zaakcode],Tabel_prc_2023[[#This Row],[Zaakcode]],Tabel_VAS2023[Adviesofprocedure],"prc",Tabel_VAS2023[code_punten_forfait],12)</f>
        <v>1645</v>
      </c>
      <c r="K95" s="92">
        <f>SUMIFS(Tabel_VAS2023[aantal_VAS],Tabel_VAS2023[Zaakcode],Tabel_prc_2023[[#This Row],[Zaakcode]],Tabel_VAS2023[Adviesofprocedure],"prc",Tabel_VAS2023[code_punten_forfait],15)</f>
        <v>66</v>
      </c>
      <c r="L95" s="92">
        <f>SUMIFS(Tabel_VAS2023[aantal_VAS],Tabel_VAS2023[Zaakcode],Tabel_prc_2023[[#This Row],[Zaakcode]],Tabel_VAS2023[Adviesofprocedure],"prc",Tabel_VAS2023[code_punten_forfait],16)</f>
        <v>6</v>
      </c>
      <c r="M95" s="35">
        <f>IFERROR(INDEX(Tabel_forfaits[forfait vanaf 2022],MATCH(Tabel_prc_2023[[#This Row],[Zaakcode]],Tabel_forfaits[Zaakcode],0)), "n.v.t.")</f>
        <v>6</v>
      </c>
      <c r="N95" s="35">
        <f>IFERROR(INDEX(Tabel_forfaits[forfait VdM II voor berekening],MATCH(Tabel_prc_2023[[#This Row],[Zaakcode]],Tabel_forfaits[Zaakcode],0)), "n.v.t.")</f>
        <v>5</v>
      </c>
      <c r="O95" s="36"/>
      <c r="P9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-1869</v>
      </c>
      <c r="Q9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-68</v>
      </c>
      <c r="R9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-18</v>
      </c>
      <c r="S95" s="35">
        <f>IF(Tabel_prc_2023[[#This Row],[procedure - forfait VdM II]]="n.v.t.",0,  Tabel_prc_2023[[#This Row],[procedure - aantal 0 punten]] * (Tabel_prc_2023[[#This Row],[procedure - forfait VdM II]] - Tabel_prc_2023[[#This Row],[procedure - forfait VdM I]]))</f>
        <v>0</v>
      </c>
      <c r="T9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1949</v>
      </c>
      <c r="U9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-1955</v>
      </c>
      <c r="V95" s="109">
        <f>Tabel_prc_2023[[#This Row],[procedure - totaal extra punten toev. VdM II t.o.v. huidig]] * tarief_huidig</f>
        <v>-299360.35249999998</v>
      </c>
    </row>
    <row r="96" spans="1:22" x14ac:dyDescent="0.3">
      <c r="A96"/>
      <c r="B96" s="1" t="s">
        <v>91</v>
      </c>
      <c r="C96" s="34" t="s">
        <v>5</v>
      </c>
      <c r="D9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39997</v>
      </c>
      <c r="E9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271048.5</v>
      </c>
      <c r="F96" s="91">
        <f>SUMIFS(Tabel_VAS2023[aantal_VAS],Tabel_VAS2023[Zaakcode],Tabel_prc_2023[[#This Row],[Zaakcode]],Tabel_VAS2023[Adviesofprocedure],"prc",Tabel_VAS2023[code_punten_forfait],10)</f>
        <v>5</v>
      </c>
      <c r="G96" s="91">
        <f>SUMIFS(Tabel_VAS2023[aantal_VAS],Tabel_VAS2023[Zaakcode],Tabel_prc_2023[[#This Row],[Zaakcode]],Tabel_VAS2023[Adviesofprocedure],"prc",Tabel_VAS2023[code_punten_forfait],11)</f>
        <v>4284</v>
      </c>
      <c r="H96" s="91">
        <f>SUMIFS(Tabel_VAS2023[aantal_VAS],Tabel_VAS2023[Zaakcode],Tabel_prc_2023[[#This Row],[Zaakcode]],Tabel_VAS2023[Adviesofprocedure],"prc",Tabel_VAS2023[code_punten_forfait],13)</f>
        <v>805</v>
      </c>
      <c r="I96" s="92">
        <f>SUMIFS(Tabel_VAS2023[aantal_VAS],Tabel_VAS2023[Zaakcode],Tabel_prc_2023[[#This Row],[Zaakcode]],Tabel_VAS2023[Adviesofprocedure],"prc",Tabel_VAS2023[code_punten_forfait],14)</f>
        <v>119</v>
      </c>
      <c r="J96" s="91">
        <f>SUMIFS(Tabel_VAS2023[aantal_VAS],Tabel_VAS2023[Zaakcode],Tabel_prc_2023[[#This Row],[Zaakcode]],Tabel_VAS2023[Adviesofprocedure],"prc",Tabel_VAS2023[code_punten_forfait],12)</f>
        <v>30784</v>
      </c>
      <c r="K96" s="91">
        <f>SUMIFS(Tabel_VAS2023[aantal_VAS],Tabel_VAS2023[Zaakcode],Tabel_prc_2023[[#This Row],[Zaakcode]],Tabel_VAS2023[Adviesofprocedure],"prc",Tabel_VAS2023[code_punten_forfait],15)</f>
        <v>2849</v>
      </c>
      <c r="L96" s="92">
        <f>SUMIFS(Tabel_VAS2023[aantal_VAS],Tabel_VAS2023[Zaakcode],Tabel_prc_2023[[#This Row],[Zaakcode]],Tabel_VAS2023[Adviesofprocedure],"prc",Tabel_VAS2023[code_punten_forfait],16)</f>
        <v>1151</v>
      </c>
      <c r="M96" s="35">
        <f>IFERROR(INDEX(Tabel_forfaits[forfait vanaf 2022],MATCH(Tabel_prc_2023[[#This Row],[Zaakcode]],Tabel_forfaits[Zaakcode],0)), "n.v.t.")</f>
        <v>7</v>
      </c>
      <c r="N96" s="35">
        <f>IFERROR(INDEX(Tabel_forfaits[forfait VdM II voor berekening],MATCH(Tabel_prc_2023[[#This Row],[Zaakcode]],Tabel_forfaits[Zaakcode],0)), "n.v.t.")</f>
        <v>7</v>
      </c>
      <c r="O96" s="36"/>
      <c r="P9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9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9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96" s="35">
        <f>IF(Tabel_prc_2023[[#This Row],[procedure - forfait VdM II]]="n.v.t.",0,  Tabel_prc_2023[[#This Row],[procedure - aantal 0 punten]] * (Tabel_prc_2023[[#This Row],[procedure - forfait VdM II]] - Tabel_prc_2023[[#This Row],[procedure - forfait VdM I]]))</f>
        <v>0</v>
      </c>
      <c r="T9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39992</v>
      </c>
      <c r="U9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96" s="109">
        <f>Tabel_prc_2023[[#This Row],[procedure - totaal extra punten toev. VdM II t.o.v. huidig]] * tarief_huidig</f>
        <v>0</v>
      </c>
    </row>
    <row r="97" spans="1:22" x14ac:dyDescent="0.3">
      <c r="A97"/>
      <c r="B97" s="1" t="s">
        <v>92</v>
      </c>
      <c r="C97" s="34" t="s">
        <v>5</v>
      </c>
      <c r="D9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7155</v>
      </c>
      <c r="E9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41454.600000000006</v>
      </c>
      <c r="F97" s="91">
        <f>SUMIFS(Tabel_VAS2023[aantal_VAS],Tabel_VAS2023[Zaakcode],Tabel_prc_2023[[#This Row],[Zaakcode]],Tabel_VAS2023[Adviesofprocedure],"prc",Tabel_VAS2023[code_punten_forfait],10)</f>
        <v>0</v>
      </c>
      <c r="G97" s="91">
        <f>SUMIFS(Tabel_VAS2023[aantal_VAS],Tabel_VAS2023[Zaakcode],Tabel_prc_2023[[#This Row],[Zaakcode]],Tabel_VAS2023[Adviesofprocedure],"prc",Tabel_VAS2023[code_punten_forfait],11)</f>
        <v>417</v>
      </c>
      <c r="H97" s="92">
        <f>SUMIFS(Tabel_VAS2023[aantal_VAS],Tabel_VAS2023[Zaakcode],Tabel_prc_2023[[#This Row],[Zaakcode]],Tabel_VAS2023[Adviesofprocedure],"prc",Tabel_VAS2023[code_punten_forfait],13)</f>
        <v>243</v>
      </c>
      <c r="I97" s="92">
        <f>SUMIFS(Tabel_VAS2023[aantal_VAS],Tabel_VAS2023[Zaakcode],Tabel_prc_2023[[#This Row],[Zaakcode]],Tabel_VAS2023[Adviesofprocedure],"prc",Tabel_VAS2023[code_punten_forfait],14)</f>
        <v>4</v>
      </c>
      <c r="J97" s="91">
        <f>SUMIFS(Tabel_VAS2023[aantal_VAS],Tabel_VAS2023[Zaakcode],Tabel_prc_2023[[#This Row],[Zaakcode]],Tabel_VAS2023[Adviesofprocedure],"prc",Tabel_VAS2023[code_punten_forfait],12)</f>
        <v>5273</v>
      </c>
      <c r="K97" s="91">
        <f>SUMIFS(Tabel_VAS2023[aantal_VAS],Tabel_VAS2023[Zaakcode],Tabel_prc_2023[[#This Row],[Zaakcode]],Tabel_VAS2023[Adviesofprocedure],"prc",Tabel_VAS2023[code_punten_forfait],15)</f>
        <v>1196</v>
      </c>
      <c r="L97" s="92">
        <f>SUMIFS(Tabel_VAS2023[aantal_VAS],Tabel_VAS2023[Zaakcode],Tabel_prc_2023[[#This Row],[Zaakcode]],Tabel_VAS2023[Adviesofprocedure],"prc",Tabel_VAS2023[code_punten_forfait],16)</f>
        <v>22</v>
      </c>
      <c r="M97" s="35">
        <f>IFERROR(INDEX(Tabel_forfaits[forfait vanaf 2022],MATCH(Tabel_prc_2023[[#This Row],[Zaakcode]],Tabel_forfaits[Zaakcode],0)), "n.v.t.")</f>
        <v>6</v>
      </c>
      <c r="N97" s="35">
        <f>IFERROR(INDEX(Tabel_forfaits[forfait VdM II voor berekening],MATCH(Tabel_prc_2023[[#This Row],[Zaakcode]],Tabel_forfaits[Zaakcode],0)), "n.v.t.")</f>
        <v>6</v>
      </c>
      <c r="O97" s="36"/>
      <c r="P9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9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9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97" s="35">
        <f>IF(Tabel_prc_2023[[#This Row],[procedure - forfait VdM II]]="n.v.t.",0,  Tabel_prc_2023[[#This Row],[procedure - aantal 0 punten]] * (Tabel_prc_2023[[#This Row],[procedure - forfait VdM II]] - Tabel_prc_2023[[#This Row],[procedure - forfait VdM I]]))</f>
        <v>0</v>
      </c>
      <c r="T9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7155</v>
      </c>
      <c r="U9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97" s="109">
        <f>Tabel_prc_2023[[#This Row],[procedure - totaal extra punten toev. VdM II t.o.v. huidig]] * tarief_huidig</f>
        <v>0</v>
      </c>
    </row>
    <row r="98" spans="1:22" x14ac:dyDescent="0.3">
      <c r="A98"/>
      <c r="B98" s="1" t="s">
        <v>93</v>
      </c>
      <c r="C98" s="34" t="s">
        <v>5</v>
      </c>
      <c r="D9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3312</v>
      </c>
      <c r="E9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16489</v>
      </c>
      <c r="F98" s="91">
        <f>SUMIFS(Tabel_VAS2023[aantal_VAS],Tabel_VAS2023[Zaakcode],Tabel_prc_2023[[#This Row],[Zaakcode]],Tabel_VAS2023[Adviesofprocedure],"prc",Tabel_VAS2023[code_punten_forfait],10)</f>
        <v>0</v>
      </c>
      <c r="G98" s="91">
        <f>SUMIFS(Tabel_VAS2023[aantal_VAS],Tabel_VAS2023[Zaakcode],Tabel_prc_2023[[#This Row],[Zaakcode]],Tabel_VAS2023[Adviesofprocedure],"prc",Tabel_VAS2023[code_punten_forfait],11)</f>
        <v>143</v>
      </c>
      <c r="H98" s="92">
        <f>SUMIFS(Tabel_VAS2023[aantal_VAS],Tabel_VAS2023[Zaakcode],Tabel_prc_2023[[#This Row],[Zaakcode]],Tabel_VAS2023[Adviesofprocedure],"prc",Tabel_VAS2023[code_punten_forfait],13)</f>
        <v>0</v>
      </c>
      <c r="I98" s="92">
        <f>SUMIFS(Tabel_VAS2023[aantal_VAS],Tabel_VAS2023[Zaakcode],Tabel_prc_2023[[#This Row],[Zaakcode]],Tabel_VAS2023[Adviesofprocedure],"prc",Tabel_VAS2023[code_punten_forfait],14)</f>
        <v>1</v>
      </c>
      <c r="J98" s="91">
        <f>SUMIFS(Tabel_VAS2023[aantal_VAS],Tabel_VAS2023[Zaakcode],Tabel_prc_2023[[#This Row],[Zaakcode]],Tabel_VAS2023[Adviesofprocedure],"prc",Tabel_VAS2023[code_punten_forfait],12)</f>
        <v>3127</v>
      </c>
      <c r="K98" s="92">
        <f>SUMIFS(Tabel_VAS2023[aantal_VAS],Tabel_VAS2023[Zaakcode],Tabel_prc_2023[[#This Row],[Zaakcode]],Tabel_VAS2023[Adviesofprocedure],"prc",Tabel_VAS2023[code_punten_forfait],15)</f>
        <v>13</v>
      </c>
      <c r="L98" s="92">
        <f>SUMIFS(Tabel_VAS2023[aantal_VAS],Tabel_VAS2023[Zaakcode],Tabel_prc_2023[[#This Row],[Zaakcode]],Tabel_VAS2023[Adviesofprocedure],"prc",Tabel_VAS2023[code_punten_forfait],16)</f>
        <v>28</v>
      </c>
      <c r="M98" s="35">
        <f>IFERROR(INDEX(Tabel_forfaits[forfait vanaf 2022],MATCH(Tabel_prc_2023[[#This Row],[Zaakcode]],Tabel_forfaits[Zaakcode],0)), "n.v.t.")</f>
        <v>5</v>
      </c>
      <c r="N98" s="35">
        <f>IFERROR(INDEX(Tabel_forfaits[forfait VdM II voor berekening],MATCH(Tabel_prc_2023[[#This Row],[Zaakcode]],Tabel_forfaits[Zaakcode],0)), "n.v.t.")</f>
        <v>5</v>
      </c>
      <c r="O98" s="36"/>
      <c r="P9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9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9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98" s="35">
        <f>IF(Tabel_prc_2023[[#This Row],[procedure - forfait VdM II]]="n.v.t.",0,  Tabel_prc_2023[[#This Row],[procedure - aantal 0 punten]] * (Tabel_prc_2023[[#This Row],[procedure - forfait VdM II]] - Tabel_prc_2023[[#This Row],[procedure - forfait VdM I]]))</f>
        <v>0</v>
      </c>
      <c r="T9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3312</v>
      </c>
      <c r="U9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98" s="109">
        <f>Tabel_prc_2023[[#This Row],[procedure - totaal extra punten toev. VdM II t.o.v. huidig]] * tarief_huidig</f>
        <v>0</v>
      </c>
    </row>
    <row r="99" spans="1:22" x14ac:dyDescent="0.3">
      <c r="A99"/>
      <c r="B99" s="1" t="s">
        <v>94</v>
      </c>
      <c r="C99" s="34" t="s">
        <v>5</v>
      </c>
      <c r="D9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13785</v>
      </c>
      <c r="E9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176123.99999999997</v>
      </c>
      <c r="F99" s="91">
        <f>SUMIFS(Tabel_VAS2023[aantal_VAS],Tabel_VAS2023[Zaakcode],Tabel_prc_2023[[#This Row],[Zaakcode]],Tabel_VAS2023[Adviesofprocedure],"prc",Tabel_VAS2023[code_punten_forfait],10)</f>
        <v>3</v>
      </c>
      <c r="G99" s="91">
        <f>SUMIFS(Tabel_VAS2023[aantal_VAS],Tabel_VAS2023[Zaakcode],Tabel_prc_2023[[#This Row],[Zaakcode]],Tabel_VAS2023[Adviesofprocedure],"prc",Tabel_VAS2023[code_punten_forfait],11)</f>
        <v>2396</v>
      </c>
      <c r="H99" s="92">
        <f>SUMIFS(Tabel_VAS2023[aantal_VAS],Tabel_VAS2023[Zaakcode],Tabel_prc_2023[[#This Row],[Zaakcode]],Tabel_VAS2023[Adviesofprocedure],"prc",Tabel_VAS2023[code_punten_forfait],13)</f>
        <v>244</v>
      </c>
      <c r="I99" s="92">
        <f>SUMIFS(Tabel_VAS2023[aantal_VAS],Tabel_VAS2023[Zaakcode],Tabel_prc_2023[[#This Row],[Zaakcode]],Tabel_VAS2023[Adviesofprocedure],"prc",Tabel_VAS2023[code_punten_forfait],14)</f>
        <v>257</v>
      </c>
      <c r="J99" s="91">
        <f>SUMIFS(Tabel_VAS2023[aantal_VAS],Tabel_VAS2023[Zaakcode],Tabel_prc_2023[[#This Row],[Zaakcode]],Tabel_VAS2023[Adviesofprocedure],"prc",Tabel_VAS2023[code_punten_forfait],12)</f>
        <v>9164</v>
      </c>
      <c r="K99" s="92">
        <f>SUMIFS(Tabel_VAS2023[aantal_VAS],Tabel_VAS2023[Zaakcode],Tabel_prc_2023[[#This Row],[Zaakcode]],Tabel_VAS2023[Adviesofprocedure],"prc",Tabel_VAS2023[code_punten_forfait],15)</f>
        <v>1250</v>
      </c>
      <c r="L99" s="92">
        <f>SUMIFS(Tabel_VAS2023[aantal_VAS],Tabel_VAS2023[Zaakcode],Tabel_prc_2023[[#This Row],[Zaakcode]],Tabel_VAS2023[Adviesofprocedure],"prc",Tabel_VAS2023[code_punten_forfait],16)</f>
        <v>471</v>
      </c>
      <c r="M99" s="35">
        <f>IFERROR(INDEX(Tabel_forfaits[forfait vanaf 2022],MATCH(Tabel_prc_2023[[#This Row],[Zaakcode]],Tabel_forfaits[Zaakcode],0)), "n.v.t.")</f>
        <v>14</v>
      </c>
      <c r="N99" s="35">
        <f>IFERROR(INDEX(Tabel_forfaits[forfait VdM II voor berekening],MATCH(Tabel_prc_2023[[#This Row],[Zaakcode]],Tabel_forfaits[Zaakcode],0)), "n.v.t.")</f>
        <v>15</v>
      </c>
      <c r="O99" s="36"/>
      <c r="P9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11560</v>
      </c>
      <c r="Q9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1494</v>
      </c>
      <c r="R9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1092</v>
      </c>
      <c r="S99" s="35">
        <f>IF(Tabel_prc_2023[[#This Row],[procedure - forfait VdM II]]="n.v.t.",0,  Tabel_prc_2023[[#This Row],[procedure - aantal 0 punten]] * (Tabel_prc_2023[[#This Row],[procedure - forfait VdM II]] - Tabel_prc_2023[[#This Row],[procedure - forfait VdM I]]))</f>
        <v>3</v>
      </c>
      <c r="T9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13782</v>
      </c>
      <c r="U9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14146</v>
      </c>
      <c r="V99" s="109">
        <f>Tabel_prc_2023[[#This Row],[procedure - totaal extra punten toev. VdM II t.o.v. huidig]] * tarief_huidig</f>
        <v>2166113.3229999999</v>
      </c>
    </row>
    <row r="100" spans="1:22" x14ac:dyDescent="0.3">
      <c r="A100"/>
      <c r="B100" s="1" t="s">
        <v>95</v>
      </c>
      <c r="C100" s="34" t="s">
        <v>5</v>
      </c>
      <c r="D10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6249</v>
      </c>
      <c r="E10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49024</v>
      </c>
      <c r="F100" s="91">
        <f>SUMIFS(Tabel_VAS2023[aantal_VAS],Tabel_VAS2023[Zaakcode],Tabel_prc_2023[[#This Row],[Zaakcode]],Tabel_VAS2023[Adviesofprocedure],"prc",Tabel_VAS2023[code_punten_forfait],10)</f>
        <v>0</v>
      </c>
      <c r="G100" s="91">
        <f>SUMIFS(Tabel_VAS2023[aantal_VAS],Tabel_VAS2023[Zaakcode],Tabel_prc_2023[[#This Row],[Zaakcode]],Tabel_VAS2023[Adviesofprocedure],"prc",Tabel_VAS2023[code_punten_forfait],11)</f>
        <v>1561</v>
      </c>
      <c r="H100" s="92">
        <f>SUMIFS(Tabel_VAS2023[aantal_VAS],Tabel_VAS2023[Zaakcode],Tabel_prc_2023[[#This Row],[Zaakcode]],Tabel_VAS2023[Adviesofprocedure],"prc",Tabel_VAS2023[code_punten_forfait],13)</f>
        <v>11</v>
      </c>
      <c r="I100" s="92">
        <f>SUMIFS(Tabel_VAS2023[aantal_VAS],Tabel_VAS2023[Zaakcode],Tabel_prc_2023[[#This Row],[Zaakcode]],Tabel_VAS2023[Adviesofprocedure],"prc",Tabel_VAS2023[code_punten_forfait],14)</f>
        <v>8</v>
      </c>
      <c r="J100" s="91">
        <f>SUMIFS(Tabel_VAS2023[aantal_VAS],Tabel_VAS2023[Zaakcode],Tabel_prc_2023[[#This Row],[Zaakcode]],Tabel_VAS2023[Adviesofprocedure],"prc",Tabel_VAS2023[code_punten_forfait],12)</f>
        <v>4461</v>
      </c>
      <c r="K100" s="92">
        <f>SUMIFS(Tabel_VAS2023[aantal_VAS],Tabel_VAS2023[Zaakcode],Tabel_prc_2023[[#This Row],[Zaakcode]],Tabel_VAS2023[Adviesofprocedure],"prc",Tabel_VAS2023[code_punten_forfait],15)</f>
        <v>191</v>
      </c>
      <c r="L100" s="92">
        <f>SUMIFS(Tabel_VAS2023[aantal_VAS],Tabel_VAS2023[Zaakcode],Tabel_prc_2023[[#This Row],[Zaakcode]],Tabel_VAS2023[Adviesofprocedure],"prc",Tabel_VAS2023[code_punten_forfait],16)</f>
        <v>17</v>
      </c>
      <c r="M100" s="35">
        <f>IFERROR(INDEX(Tabel_forfaits[forfait vanaf 2022],MATCH(Tabel_prc_2023[[#This Row],[Zaakcode]],Tabel_forfaits[Zaakcode],0)), "n.v.t.")</f>
        <v>8</v>
      </c>
      <c r="N100" s="35">
        <f>IFERROR(INDEX(Tabel_forfaits[forfait VdM II voor berekening],MATCH(Tabel_prc_2023[[#This Row],[Zaakcode]],Tabel_forfaits[Zaakcode],0)), "n.v.t.")</f>
        <v>8</v>
      </c>
      <c r="O100" s="36"/>
      <c r="P10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0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0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00" s="35">
        <f>IF(Tabel_prc_2023[[#This Row],[procedure - forfait VdM II]]="n.v.t.",0,  Tabel_prc_2023[[#This Row],[procedure - aantal 0 punten]] * (Tabel_prc_2023[[#This Row],[procedure - forfait VdM II]] - Tabel_prc_2023[[#This Row],[procedure - forfait VdM I]]))</f>
        <v>0</v>
      </c>
      <c r="T10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6249</v>
      </c>
      <c r="U10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00" s="109">
        <f>Tabel_prc_2023[[#This Row],[procedure - totaal extra punten toev. VdM II t.o.v. huidig]] * tarief_huidig</f>
        <v>0</v>
      </c>
    </row>
    <row r="101" spans="1:22" x14ac:dyDescent="0.3">
      <c r="A101"/>
      <c r="B101" s="1" t="s">
        <v>96</v>
      </c>
      <c r="C101" s="34" t="s">
        <v>5</v>
      </c>
      <c r="D10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2046</v>
      </c>
      <c r="E10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16064</v>
      </c>
      <c r="F101" s="91">
        <f>SUMIFS(Tabel_VAS2023[aantal_VAS],Tabel_VAS2023[Zaakcode],Tabel_prc_2023[[#This Row],[Zaakcode]],Tabel_VAS2023[Adviesofprocedure],"prc",Tabel_VAS2023[code_punten_forfait],10)</f>
        <v>0</v>
      </c>
      <c r="G101" s="91">
        <f>SUMIFS(Tabel_VAS2023[aantal_VAS],Tabel_VAS2023[Zaakcode],Tabel_prc_2023[[#This Row],[Zaakcode]],Tabel_VAS2023[Adviesofprocedure],"prc",Tabel_VAS2023[code_punten_forfait],11)</f>
        <v>599</v>
      </c>
      <c r="H101" s="92">
        <f>SUMIFS(Tabel_VAS2023[aantal_VAS],Tabel_VAS2023[Zaakcode],Tabel_prc_2023[[#This Row],[Zaakcode]],Tabel_VAS2023[Adviesofprocedure],"prc",Tabel_VAS2023[code_punten_forfait],13)</f>
        <v>4</v>
      </c>
      <c r="I101" s="92">
        <f>SUMIFS(Tabel_VAS2023[aantal_VAS],Tabel_VAS2023[Zaakcode],Tabel_prc_2023[[#This Row],[Zaakcode]],Tabel_VAS2023[Adviesofprocedure],"prc",Tabel_VAS2023[code_punten_forfait],14)</f>
        <v>0</v>
      </c>
      <c r="J101" s="91">
        <f>SUMIFS(Tabel_VAS2023[aantal_VAS],Tabel_VAS2023[Zaakcode],Tabel_prc_2023[[#This Row],[Zaakcode]],Tabel_VAS2023[Adviesofprocedure],"prc",Tabel_VAS2023[code_punten_forfait],12)</f>
        <v>1389</v>
      </c>
      <c r="K101" s="92">
        <f>SUMIFS(Tabel_VAS2023[aantal_VAS],Tabel_VAS2023[Zaakcode],Tabel_prc_2023[[#This Row],[Zaakcode]],Tabel_VAS2023[Adviesofprocedure],"prc",Tabel_VAS2023[code_punten_forfait],15)</f>
        <v>52</v>
      </c>
      <c r="L101" s="92">
        <f>SUMIFS(Tabel_VAS2023[aantal_VAS],Tabel_VAS2023[Zaakcode],Tabel_prc_2023[[#This Row],[Zaakcode]],Tabel_VAS2023[Adviesofprocedure],"prc",Tabel_VAS2023[code_punten_forfait],16)</f>
        <v>2</v>
      </c>
      <c r="M101" s="35">
        <f>IFERROR(INDEX(Tabel_forfaits[forfait vanaf 2022],MATCH(Tabel_prc_2023[[#This Row],[Zaakcode]],Tabel_forfaits[Zaakcode],0)), "n.v.t.")</f>
        <v>8</v>
      </c>
      <c r="N101" s="35">
        <f>IFERROR(INDEX(Tabel_forfaits[forfait VdM II voor berekening],MATCH(Tabel_prc_2023[[#This Row],[Zaakcode]],Tabel_forfaits[Zaakcode],0)), "n.v.t.")</f>
        <v>10</v>
      </c>
      <c r="O101" s="36"/>
      <c r="P10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3976</v>
      </c>
      <c r="Q10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112</v>
      </c>
      <c r="R10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v>
      </c>
      <c r="S101" s="35">
        <f>IF(Tabel_prc_2023[[#This Row],[procedure - forfait VdM II]]="n.v.t.",0,  Tabel_prc_2023[[#This Row],[procedure - aantal 0 punten]] * (Tabel_prc_2023[[#This Row],[procedure - forfait VdM II]] - Tabel_prc_2023[[#This Row],[procedure - forfait VdM I]]))</f>
        <v>0</v>
      </c>
      <c r="T10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2046</v>
      </c>
      <c r="U10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4094</v>
      </c>
      <c r="V101" s="109">
        <f>Tabel_prc_2023[[#This Row],[procedure - totaal extra punten toev. VdM II t.o.v. huidig]] * tarief_huidig</f>
        <v>626895.7969999999</v>
      </c>
    </row>
    <row r="102" spans="1:22" x14ac:dyDescent="0.3">
      <c r="A102"/>
      <c r="B102" s="1" t="s">
        <v>97</v>
      </c>
      <c r="C102" s="34" t="s">
        <v>5</v>
      </c>
      <c r="D10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353</v>
      </c>
      <c r="E10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3071.6</v>
      </c>
      <c r="F102" s="91">
        <f>SUMIFS(Tabel_VAS2023[aantal_VAS],Tabel_VAS2023[Zaakcode],Tabel_prc_2023[[#This Row],[Zaakcode]],Tabel_VAS2023[Adviesofprocedure],"prc",Tabel_VAS2023[code_punten_forfait],10)</f>
        <v>0</v>
      </c>
      <c r="G102" s="91">
        <f>SUMIFS(Tabel_VAS2023[aantal_VAS],Tabel_VAS2023[Zaakcode],Tabel_prc_2023[[#This Row],[Zaakcode]],Tabel_VAS2023[Adviesofprocedure],"prc",Tabel_VAS2023[code_punten_forfait],11)</f>
        <v>61</v>
      </c>
      <c r="H102" s="92">
        <f>SUMIFS(Tabel_VAS2023[aantal_VAS],Tabel_VAS2023[Zaakcode],Tabel_prc_2023[[#This Row],[Zaakcode]],Tabel_VAS2023[Adviesofprocedure],"prc",Tabel_VAS2023[code_punten_forfait],13)</f>
        <v>0</v>
      </c>
      <c r="I102" s="92">
        <f>SUMIFS(Tabel_VAS2023[aantal_VAS],Tabel_VAS2023[Zaakcode],Tabel_prc_2023[[#This Row],[Zaakcode]],Tabel_VAS2023[Adviesofprocedure],"prc",Tabel_VAS2023[code_punten_forfait],14)</f>
        <v>0</v>
      </c>
      <c r="J102" s="91">
        <f>SUMIFS(Tabel_VAS2023[aantal_VAS],Tabel_VAS2023[Zaakcode],Tabel_prc_2023[[#This Row],[Zaakcode]],Tabel_VAS2023[Adviesofprocedure],"prc",Tabel_VAS2023[code_punten_forfait],12)</f>
        <v>279</v>
      </c>
      <c r="K102" s="92">
        <f>SUMIFS(Tabel_VAS2023[aantal_VAS],Tabel_VAS2023[Zaakcode],Tabel_prc_2023[[#This Row],[Zaakcode]],Tabel_VAS2023[Adviesofprocedure],"prc",Tabel_VAS2023[code_punten_forfait],15)</f>
        <v>11</v>
      </c>
      <c r="L102" s="92">
        <f>SUMIFS(Tabel_VAS2023[aantal_VAS],Tabel_VAS2023[Zaakcode],Tabel_prc_2023[[#This Row],[Zaakcode]],Tabel_VAS2023[Adviesofprocedure],"prc",Tabel_VAS2023[code_punten_forfait],16)</f>
        <v>2</v>
      </c>
      <c r="M102" s="35">
        <f>IFERROR(INDEX(Tabel_forfaits[forfait vanaf 2022],MATCH(Tabel_prc_2023[[#This Row],[Zaakcode]],Tabel_forfaits[Zaakcode],0)), "n.v.t.")</f>
        <v>9</v>
      </c>
      <c r="N102" s="35">
        <f>IFERROR(INDEX(Tabel_forfaits[forfait VdM II voor berekening],MATCH(Tabel_prc_2023[[#This Row],[Zaakcode]],Tabel_forfaits[Zaakcode],0)), "n.v.t.")</f>
        <v>10</v>
      </c>
      <c r="O102" s="36"/>
      <c r="P10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340</v>
      </c>
      <c r="Q10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11</v>
      </c>
      <c r="R10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02" s="35">
        <f>IF(Tabel_prc_2023[[#This Row],[procedure - forfait VdM II]]="n.v.t.",0,  Tabel_prc_2023[[#This Row],[procedure - aantal 0 punten]] * (Tabel_prc_2023[[#This Row],[procedure - forfait VdM II]] - Tabel_prc_2023[[#This Row],[procedure - forfait VdM I]]))</f>
        <v>0</v>
      </c>
      <c r="T10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353</v>
      </c>
      <c r="U10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354</v>
      </c>
      <c r="V102" s="109">
        <f>Tabel_prc_2023[[#This Row],[procedure - totaal extra punten toev. VdM II t.o.v. huidig]] * tarief_huidig</f>
        <v>54206.426999999996</v>
      </c>
    </row>
    <row r="103" spans="1:22" x14ac:dyDescent="0.3">
      <c r="A103"/>
      <c r="B103" s="1" t="s">
        <v>98</v>
      </c>
      <c r="C103" s="34" t="s">
        <v>5</v>
      </c>
      <c r="D10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567</v>
      </c>
      <c r="E10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4533</v>
      </c>
      <c r="F103" s="91">
        <f>SUMIFS(Tabel_VAS2023[aantal_VAS],Tabel_VAS2023[Zaakcode],Tabel_prc_2023[[#This Row],[Zaakcode]],Tabel_VAS2023[Adviesofprocedure],"prc",Tabel_VAS2023[code_punten_forfait],10)</f>
        <v>0</v>
      </c>
      <c r="G103" s="91">
        <f>SUMIFS(Tabel_VAS2023[aantal_VAS],Tabel_VAS2023[Zaakcode],Tabel_prc_2023[[#This Row],[Zaakcode]],Tabel_VAS2023[Adviesofprocedure],"prc",Tabel_VAS2023[code_punten_forfait],11)</f>
        <v>0</v>
      </c>
      <c r="H103" s="92">
        <f>SUMIFS(Tabel_VAS2023[aantal_VAS],Tabel_VAS2023[Zaakcode],Tabel_prc_2023[[#This Row],[Zaakcode]],Tabel_VAS2023[Adviesofprocedure],"prc",Tabel_VAS2023[code_punten_forfait],13)</f>
        <v>0</v>
      </c>
      <c r="I103" s="92">
        <f>SUMIFS(Tabel_VAS2023[aantal_VAS],Tabel_VAS2023[Zaakcode],Tabel_prc_2023[[#This Row],[Zaakcode]],Tabel_VAS2023[Adviesofprocedure],"prc",Tabel_VAS2023[code_punten_forfait],14)</f>
        <v>0</v>
      </c>
      <c r="J103" s="91">
        <f>SUMIFS(Tabel_VAS2023[aantal_VAS],Tabel_VAS2023[Zaakcode],Tabel_prc_2023[[#This Row],[Zaakcode]],Tabel_VAS2023[Adviesofprocedure],"prc",Tabel_VAS2023[code_punten_forfait],12)</f>
        <v>566</v>
      </c>
      <c r="K103" s="92">
        <f>SUMIFS(Tabel_VAS2023[aantal_VAS],Tabel_VAS2023[Zaakcode],Tabel_prc_2023[[#This Row],[Zaakcode]],Tabel_VAS2023[Adviesofprocedure],"prc",Tabel_VAS2023[code_punten_forfait],15)</f>
        <v>1</v>
      </c>
      <c r="L103" s="92">
        <f>SUMIFS(Tabel_VAS2023[aantal_VAS],Tabel_VAS2023[Zaakcode],Tabel_prc_2023[[#This Row],[Zaakcode]],Tabel_VAS2023[Adviesofprocedure],"prc",Tabel_VAS2023[code_punten_forfait],16)</f>
        <v>0</v>
      </c>
      <c r="M103" s="35">
        <f>IFERROR(INDEX(Tabel_forfaits[forfait vanaf 2022],MATCH(Tabel_prc_2023[[#This Row],[Zaakcode]],Tabel_forfaits[Zaakcode],0)), "n.v.t.")</f>
        <v>8</v>
      </c>
      <c r="N103" s="35">
        <f>IFERROR(INDEX(Tabel_forfaits[forfait VdM II voor berekening],MATCH(Tabel_prc_2023[[#This Row],[Zaakcode]],Tabel_forfaits[Zaakcode],0)), "n.v.t.")</f>
        <v>6</v>
      </c>
      <c r="O103" s="36"/>
      <c r="P10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-1132</v>
      </c>
      <c r="Q10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v>
      </c>
      <c r="R10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03" s="35">
        <f>IF(Tabel_prc_2023[[#This Row],[procedure - forfait VdM II]]="n.v.t.",0,  Tabel_prc_2023[[#This Row],[procedure - aantal 0 punten]] * (Tabel_prc_2023[[#This Row],[procedure - forfait VdM II]] - Tabel_prc_2023[[#This Row],[procedure - forfait VdM I]]))</f>
        <v>0</v>
      </c>
      <c r="T10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567</v>
      </c>
      <c r="U10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-1134</v>
      </c>
      <c r="V103" s="109">
        <f>Tabel_prc_2023[[#This Row],[procedure - totaal extra punten toev. VdM II t.o.v. huidig]] * tarief_huidig</f>
        <v>-173644.31699999998</v>
      </c>
    </row>
    <row r="104" spans="1:22" x14ac:dyDescent="0.3">
      <c r="A104"/>
      <c r="B104" s="1" t="s">
        <v>99</v>
      </c>
      <c r="C104" s="34" t="s">
        <v>5</v>
      </c>
      <c r="D10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63</v>
      </c>
      <c r="E10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509</v>
      </c>
      <c r="F104" s="91">
        <f>SUMIFS(Tabel_VAS2023[aantal_VAS],Tabel_VAS2023[Zaakcode],Tabel_prc_2023[[#This Row],[Zaakcode]],Tabel_VAS2023[Adviesofprocedure],"prc",Tabel_VAS2023[code_punten_forfait],10)</f>
        <v>0</v>
      </c>
      <c r="G104" s="91">
        <f>SUMIFS(Tabel_VAS2023[aantal_VAS],Tabel_VAS2023[Zaakcode],Tabel_prc_2023[[#This Row],[Zaakcode]],Tabel_VAS2023[Adviesofprocedure],"prc",Tabel_VAS2023[code_punten_forfait],11)</f>
        <v>23</v>
      </c>
      <c r="H104" s="92">
        <f>SUMIFS(Tabel_VAS2023[aantal_VAS],Tabel_VAS2023[Zaakcode],Tabel_prc_2023[[#This Row],[Zaakcode]],Tabel_VAS2023[Adviesofprocedure],"prc",Tabel_VAS2023[code_punten_forfait],13)</f>
        <v>3</v>
      </c>
      <c r="I104" s="92">
        <f>SUMIFS(Tabel_VAS2023[aantal_VAS],Tabel_VAS2023[Zaakcode],Tabel_prc_2023[[#This Row],[Zaakcode]],Tabel_VAS2023[Adviesofprocedure],"prc",Tabel_VAS2023[code_punten_forfait],14)</f>
        <v>1</v>
      </c>
      <c r="J104" s="91">
        <f>SUMIFS(Tabel_VAS2023[aantal_VAS],Tabel_VAS2023[Zaakcode],Tabel_prc_2023[[#This Row],[Zaakcode]],Tabel_VAS2023[Adviesofprocedure],"prc",Tabel_VAS2023[code_punten_forfait],12)</f>
        <v>36</v>
      </c>
      <c r="K104" s="92">
        <f>SUMIFS(Tabel_VAS2023[aantal_VAS],Tabel_VAS2023[Zaakcode],Tabel_prc_2023[[#This Row],[Zaakcode]],Tabel_VAS2023[Adviesofprocedure],"prc",Tabel_VAS2023[code_punten_forfait],15)</f>
        <v>0</v>
      </c>
      <c r="L104" s="92">
        <f>SUMIFS(Tabel_VAS2023[aantal_VAS],Tabel_VAS2023[Zaakcode],Tabel_prc_2023[[#This Row],[Zaakcode]],Tabel_VAS2023[Adviesofprocedure],"prc",Tabel_VAS2023[code_punten_forfait],16)</f>
        <v>0</v>
      </c>
      <c r="M104" s="35">
        <f>IFERROR(INDEX(Tabel_forfaits[forfait vanaf 2022],MATCH(Tabel_prc_2023[[#This Row],[Zaakcode]],Tabel_forfaits[Zaakcode],0)), "n.v.t.")</f>
        <v>9</v>
      </c>
      <c r="N104" s="35">
        <f>IFERROR(INDEX(Tabel_forfaits[forfait VdM II voor berekening],MATCH(Tabel_prc_2023[[#This Row],[Zaakcode]],Tabel_forfaits[Zaakcode],0)), "n.v.t.")</f>
        <v>11</v>
      </c>
      <c r="O104" s="36"/>
      <c r="P10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118</v>
      </c>
      <c r="Q10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6</v>
      </c>
      <c r="R10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04" s="35">
        <f>IF(Tabel_prc_2023[[#This Row],[procedure - forfait VdM II]]="n.v.t.",0,  Tabel_prc_2023[[#This Row],[procedure - aantal 0 punten]] * (Tabel_prc_2023[[#This Row],[procedure - forfait VdM II]] - Tabel_prc_2023[[#This Row],[procedure - forfait VdM I]]))</f>
        <v>0</v>
      </c>
      <c r="T10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63</v>
      </c>
      <c r="U10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127</v>
      </c>
      <c r="V104" s="109">
        <f>Tabel_prc_2023[[#This Row],[procedure - totaal extra punten toev. VdM II t.o.v. huidig]] * tarief_huidig</f>
        <v>19446.9385</v>
      </c>
    </row>
    <row r="105" spans="1:22" x14ac:dyDescent="0.3">
      <c r="A105"/>
      <c r="B105" s="1" t="s">
        <v>100</v>
      </c>
      <c r="C105" s="34" t="s">
        <v>5</v>
      </c>
      <c r="D10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4174</v>
      </c>
      <c r="E10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40426.5</v>
      </c>
      <c r="F105" s="91">
        <f>SUMIFS(Tabel_VAS2023[aantal_VAS],Tabel_VAS2023[Zaakcode],Tabel_prc_2023[[#This Row],[Zaakcode]],Tabel_VAS2023[Adviesofprocedure],"prc",Tabel_VAS2023[code_punten_forfait],10)</f>
        <v>0</v>
      </c>
      <c r="G105" s="91">
        <f>SUMIFS(Tabel_VAS2023[aantal_VAS],Tabel_VAS2023[Zaakcode],Tabel_prc_2023[[#This Row],[Zaakcode]],Tabel_VAS2023[Adviesofprocedure],"prc",Tabel_VAS2023[code_punten_forfait],11)</f>
        <v>511</v>
      </c>
      <c r="H105" s="92">
        <f>SUMIFS(Tabel_VAS2023[aantal_VAS],Tabel_VAS2023[Zaakcode],Tabel_prc_2023[[#This Row],[Zaakcode]],Tabel_VAS2023[Adviesofprocedure],"prc",Tabel_VAS2023[code_punten_forfait],13)</f>
        <v>2</v>
      </c>
      <c r="I105" s="92">
        <f>SUMIFS(Tabel_VAS2023[aantal_VAS],Tabel_VAS2023[Zaakcode],Tabel_prc_2023[[#This Row],[Zaakcode]],Tabel_VAS2023[Adviesofprocedure],"prc",Tabel_VAS2023[code_punten_forfait],14)</f>
        <v>3</v>
      </c>
      <c r="J105" s="91">
        <f>SUMIFS(Tabel_VAS2023[aantal_VAS],Tabel_VAS2023[Zaakcode],Tabel_prc_2023[[#This Row],[Zaakcode]],Tabel_VAS2023[Adviesofprocedure],"prc",Tabel_VAS2023[code_punten_forfait],12)</f>
        <v>3610</v>
      </c>
      <c r="K105" s="92">
        <f>SUMIFS(Tabel_VAS2023[aantal_VAS],Tabel_VAS2023[Zaakcode],Tabel_prc_2023[[#This Row],[Zaakcode]],Tabel_VAS2023[Adviesofprocedure],"prc",Tabel_VAS2023[code_punten_forfait],15)</f>
        <v>45</v>
      </c>
      <c r="L105" s="92">
        <f>SUMIFS(Tabel_VAS2023[aantal_VAS],Tabel_VAS2023[Zaakcode],Tabel_prc_2023[[#This Row],[Zaakcode]],Tabel_VAS2023[Adviesofprocedure],"prc",Tabel_VAS2023[code_punten_forfait],16)</f>
        <v>3</v>
      </c>
      <c r="M105" s="35">
        <f>IFERROR(INDEX(Tabel_forfaits[forfait vanaf 2022],MATCH(Tabel_prc_2023[[#This Row],[Zaakcode]],Tabel_forfaits[Zaakcode],0)), "n.v.t.")</f>
        <v>10</v>
      </c>
      <c r="N105" s="35">
        <f>IFERROR(INDEX(Tabel_forfaits[forfait VdM II voor berekening],MATCH(Tabel_prc_2023[[#This Row],[Zaakcode]],Tabel_forfaits[Zaakcode],0)), "n.v.t.")</f>
        <v>9</v>
      </c>
      <c r="O105" s="36"/>
      <c r="P10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-4121</v>
      </c>
      <c r="Q10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-47</v>
      </c>
      <c r="R10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-9</v>
      </c>
      <c r="S105" s="35">
        <f>IF(Tabel_prc_2023[[#This Row],[procedure - forfait VdM II]]="n.v.t.",0,  Tabel_prc_2023[[#This Row],[procedure - aantal 0 punten]] * (Tabel_prc_2023[[#This Row],[procedure - forfait VdM II]] - Tabel_prc_2023[[#This Row],[procedure - forfait VdM I]]))</f>
        <v>0</v>
      </c>
      <c r="T10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4174</v>
      </c>
      <c r="U10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-4177</v>
      </c>
      <c r="V105" s="109">
        <f>Tabel_prc_2023[[#This Row],[procedure - totaal extra punten toev. VdM II t.o.v. huidig]] * tarief_huidig</f>
        <v>-639605.21349999995</v>
      </c>
    </row>
    <row r="106" spans="1:22" x14ac:dyDescent="0.3">
      <c r="A106"/>
      <c r="B106" s="1" t="s">
        <v>101</v>
      </c>
      <c r="C106" s="34" t="s">
        <v>5</v>
      </c>
      <c r="D10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1295</v>
      </c>
      <c r="E10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7520</v>
      </c>
      <c r="F106" s="91">
        <f>SUMIFS(Tabel_VAS2023[aantal_VAS],Tabel_VAS2023[Zaakcode],Tabel_prc_2023[[#This Row],[Zaakcode]],Tabel_VAS2023[Adviesofprocedure],"prc",Tabel_VAS2023[code_punten_forfait],10)</f>
        <v>0</v>
      </c>
      <c r="G106" s="91">
        <f>SUMIFS(Tabel_VAS2023[aantal_VAS],Tabel_VAS2023[Zaakcode],Tabel_prc_2023[[#This Row],[Zaakcode]],Tabel_VAS2023[Adviesofprocedure],"prc",Tabel_VAS2023[code_punten_forfait],11)</f>
        <v>239</v>
      </c>
      <c r="H106" s="92">
        <f>SUMIFS(Tabel_VAS2023[aantal_VAS],Tabel_VAS2023[Zaakcode],Tabel_prc_2023[[#This Row],[Zaakcode]],Tabel_VAS2023[Adviesofprocedure],"prc",Tabel_VAS2023[code_punten_forfait],13)</f>
        <v>2</v>
      </c>
      <c r="I106" s="92">
        <f>SUMIFS(Tabel_VAS2023[aantal_VAS],Tabel_VAS2023[Zaakcode],Tabel_prc_2023[[#This Row],[Zaakcode]],Tabel_VAS2023[Adviesofprocedure],"prc",Tabel_VAS2023[code_punten_forfait],14)</f>
        <v>2</v>
      </c>
      <c r="J106" s="91">
        <f>SUMIFS(Tabel_VAS2023[aantal_VAS],Tabel_VAS2023[Zaakcode],Tabel_prc_2023[[#This Row],[Zaakcode]],Tabel_VAS2023[Adviesofprocedure],"prc",Tabel_VAS2023[code_punten_forfait],12)</f>
        <v>1049</v>
      </c>
      <c r="K106" s="92">
        <f>SUMIFS(Tabel_VAS2023[aantal_VAS],Tabel_VAS2023[Zaakcode],Tabel_prc_2023[[#This Row],[Zaakcode]],Tabel_VAS2023[Adviesofprocedure],"prc",Tabel_VAS2023[code_punten_forfait],15)</f>
        <v>3</v>
      </c>
      <c r="L106" s="92">
        <f>SUMIFS(Tabel_VAS2023[aantal_VAS],Tabel_VAS2023[Zaakcode],Tabel_prc_2023[[#This Row],[Zaakcode]],Tabel_VAS2023[Adviesofprocedure],"prc",Tabel_VAS2023[code_punten_forfait],16)</f>
        <v>0</v>
      </c>
      <c r="M106" s="35">
        <f>IFERROR(INDEX(Tabel_forfaits[forfait vanaf 2022],MATCH(Tabel_prc_2023[[#This Row],[Zaakcode]],Tabel_forfaits[Zaakcode],0)), "n.v.t.")</f>
        <v>6</v>
      </c>
      <c r="N106" s="35">
        <f>IFERROR(INDEX(Tabel_forfaits[forfait VdM II voor berekening],MATCH(Tabel_prc_2023[[#This Row],[Zaakcode]],Tabel_forfaits[Zaakcode],0)), "n.v.t.")</f>
        <v>7</v>
      </c>
      <c r="O106" s="36"/>
      <c r="P10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1288</v>
      </c>
      <c r="Q10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5</v>
      </c>
      <c r="R10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06" s="35">
        <f>IF(Tabel_prc_2023[[#This Row],[procedure - forfait VdM II]]="n.v.t.",0,  Tabel_prc_2023[[#This Row],[procedure - aantal 0 punten]] * (Tabel_prc_2023[[#This Row],[procedure - forfait VdM II]] - Tabel_prc_2023[[#This Row],[procedure - forfait VdM I]]))</f>
        <v>0</v>
      </c>
      <c r="T10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1295</v>
      </c>
      <c r="U10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1296</v>
      </c>
      <c r="V106" s="109">
        <f>Tabel_prc_2023[[#This Row],[procedure - totaal extra punten toev. VdM II t.o.v. huidig]] * tarief_huidig</f>
        <v>198450.64799999999</v>
      </c>
    </row>
    <row r="107" spans="1:22" x14ac:dyDescent="0.3">
      <c r="A107"/>
      <c r="B107" s="1" t="s">
        <v>102</v>
      </c>
      <c r="C107" s="34" t="s">
        <v>5</v>
      </c>
      <c r="D10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492</v>
      </c>
      <c r="E10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3500.5</v>
      </c>
      <c r="F107" s="91">
        <f>SUMIFS(Tabel_VAS2023[aantal_VAS],Tabel_VAS2023[Zaakcode],Tabel_prc_2023[[#This Row],[Zaakcode]],Tabel_VAS2023[Adviesofprocedure],"prc",Tabel_VAS2023[code_punten_forfait],10)</f>
        <v>0</v>
      </c>
      <c r="G107" s="91">
        <f>SUMIFS(Tabel_VAS2023[aantal_VAS],Tabel_VAS2023[Zaakcode],Tabel_prc_2023[[#This Row],[Zaakcode]],Tabel_VAS2023[Adviesofprocedure],"prc",Tabel_VAS2023[code_punten_forfait],11)</f>
        <v>36</v>
      </c>
      <c r="H107" s="92">
        <f>SUMIFS(Tabel_VAS2023[aantal_VAS],Tabel_VAS2023[Zaakcode],Tabel_prc_2023[[#This Row],[Zaakcode]],Tabel_VAS2023[Adviesofprocedure],"prc",Tabel_VAS2023[code_punten_forfait],13)</f>
        <v>1</v>
      </c>
      <c r="I107" s="92">
        <f>SUMIFS(Tabel_VAS2023[aantal_VAS],Tabel_VAS2023[Zaakcode],Tabel_prc_2023[[#This Row],[Zaakcode]],Tabel_VAS2023[Adviesofprocedure],"prc",Tabel_VAS2023[code_punten_forfait],14)</f>
        <v>18</v>
      </c>
      <c r="J107" s="91">
        <f>SUMIFS(Tabel_VAS2023[aantal_VAS],Tabel_VAS2023[Zaakcode],Tabel_prc_2023[[#This Row],[Zaakcode]],Tabel_VAS2023[Adviesofprocedure],"prc",Tabel_VAS2023[code_punten_forfait],12)</f>
        <v>337</v>
      </c>
      <c r="K107" s="92">
        <f>SUMIFS(Tabel_VAS2023[aantal_VAS],Tabel_VAS2023[Zaakcode],Tabel_prc_2023[[#This Row],[Zaakcode]],Tabel_VAS2023[Adviesofprocedure],"prc",Tabel_VAS2023[code_punten_forfait],15)</f>
        <v>7</v>
      </c>
      <c r="L107" s="92">
        <f>SUMIFS(Tabel_VAS2023[aantal_VAS],Tabel_VAS2023[Zaakcode],Tabel_prc_2023[[#This Row],[Zaakcode]],Tabel_VAS2023[Adviesofprocedure],"prc",Tabel_VAS2023[code_punten_forfait],16)</f>
        <v>93</v>
      </c>
      <c r="M107" s="35">
        <f>IFERROR(INDEX(Tabel_forfaits[forfait vanaf 2022],MATCH(Tabel_prc_2023[[#This Row],[Zaakcode]],Tabel_forfaits[Zaakcode],0)), "n.v.t.")</f>
        <v>7</v>
      </c>
      <c r="N107" s="35">
        <f>IFERROR(INDEX(Tabel_forfaits[forfait VdM II voor berekening],MATCH(Tabel_prc_2023[[#This Row],[Zaakcode]],Tabel_forfaits[Zaakcode],0)), "n.v.t.")</f>
        <v>8</v>
      </c>
      <c r="O107" s="36"/>
      <c r="P10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373</v>
      </c>
      <c r="Q10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v>
      </c>
      <c r="R10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166.5</v>
      </c>
      <c r="S107" s="35">
        <f>IF(Tabel_prc_2023[[#This Row],[procedure - forfait VdM II]]="n.v.t.",0,  Tabel_prc_2023[[#This Row],[procedure - aantal 0 punten]] * (Tabel_prc_2023[[#This Row],[procedure - forfait VdM II]] - Tabel_prc_2023[[#This Row],[procedure - forfait VdM I]]))</f>
        <v>0</v>
      </c>
      <c r="T10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492</v>
      </c>
      <c r="U10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547.5</v>
      </c>
      <c r="V107" s="109">
        <f>Tabel_prc_2023[[#This Row],[procedure - totaal extra punten toev. VdM II t.o.v. huidig]] * tarief_huidig</f>
        <v>83836.211249999993</v>
      </c>
    </row>
    <row r="108" spans="1:22" x14ac:dyDescent="0.3">
      <c r="A108"/>
      <c r="B108" s="1" t="s">
        <v>103</v>
      </c>
      <c r="C108" s="34" t="s">
        <v>5</v>
      </c>
      <c r="D10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11045</v>
      </c>
      <c r="E10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89544.5</v>
      </c>
      <c r="F108" s="91">
        <f>SUMIFS(Tabel_VAS2023[aantal_VAS],Tabel_VAS2023[Zaakcode],Tabel_prc_2023[[#This Row],[Zaakcode]],Tabel_VAS2023[Adviesofprocedure],"prc",Tabel_VAS2023[code_punten_forfait],10)</f>
        <v>0</v>
      </c>
      <c r="G108" s="91">
        <f>SUMIFS(Tabel_VAS2023[aantal_VAS],Tabel_VAS2023[Zaakcode],Tabel_prc_2023[[#This Row],[Zaakcode]],Tabel_VAS2023[Adviesofprocedure],"prc",Tabel_VAS2023[code_punten_forfait],11)</f>
        <v>752</v>
      </c>
      <c r="H108" s="92">
        <f>SUMIFS(Tabel_VAS2023[aantal_VAS],Tabel_VAS2023[Zaakcode],Tabel_prc_2023[[#This Row],[Zaakcode]],Tabel_VAS2023[Adviesofprocedure],"prc",Tabel_VAS2023[code_punten_forfait],13)</f>
        <v>0</v>
      </c>
      <c r="I108" s="92">
        <f>SUMIFS(Tabel_VAS2023[aantal_VAS],Tabel_VAS2023[Zaakcode],Tabel_prc_2023[[#This Row],[Zaakcode]],Tabel_VAS2023[Adviesofprocedure],"prc",Tabel_VAS2023[code_punten_forfait],14)</f>
        <v>12</v>
      </c>
      <c r="J108" s="91">
        <f>SUMIFS(Tabel_VAS2023[aantal_VAS],Tabel_VAS2023[Zaakcode],Tabel_prc_2023[[#This Row],[Zaakcode]],Tabel_VAS2023[Adviesofprocedure],"prc",Tabel_VAS2023[code_punten_forfait],12)</f>
        <v>9995</v>
      </c>
      <c r="K108" s="92">
        <f>SUMIFS(Tabel_VAS2023[aantal_VAS],Tabel_VAS2023[Zaakcode],Tabel_prc_2023[[#This Row],[Zaakcode]],Tabel_VAS2023[Adviesofprocedure],"prc",Tabel_VAS2023[code_punten_forfait],15)</f>
        <v>0</v>
      </c>
      <c r="L108" s="92">
        <f>SUMIFS(Tabel_VAS2023[aantal_VAS],Tabel_VAS2023[Zaakcode],Tabel_prc_2023[[#This Row],[Zaakcode]],Tabel_VAS2023[Adviesofprocedure],"prc",Tabel_VAS2023[code_punten_forfait],16)</f>
        <v>286</v>
      </c>
      <c r="M108" s="35">
        <f>IFERROR(INDEX(Tabel_forfaits[forfait vanaf 2022],MATCH(Tabel_prc_2023[[#This Row],[Zaakcode]],Tabel_forfaits[Zaakcode],0)), "n.v.t.")</f>
        <v>8</v>
      </c>
      <c r="N108" s="35">
        <f>IFERROR(INDEX(Tabel_forfaits[forfait VdM II voor berekening],MATCH(Tabel_prc_2023[[#This Row],[Zaakcode]],Tabel_forfaits[Zaakcode],0)), "n.v.t.")</f>
        <v>9</v>
      </c>
      <c r="O108" s="36"/>
      <c r="P10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10747</v>
      </c>
      <c r="Q10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0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447</v>
      </c>
      <c r="S108" s="35">
        <f>IF(Tabel_prc_2023[[#This Row],[procedure - forfait VdM II]]="n.v.t.",0,  Tabel_prc_2023[[#This Row],[procedure - aantal 0 punten]] * (Tabel_prc_2023[[#This Row],[procedure - forfait VdM II]] - Tabel_prc_2023[[#This Row],[procedure - forfait VdM I]]))</f>
        <v>0</v>
      </c>
      <c r="T10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11045</v>
      </c>
      <c r="U10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11194</v>
      </c>
      <c r="V108" s="109">
        <f>Tabel_prc_2023[[#This Row],[procedure - totaal extra punten toev. VdM II t.o.v. huidig]] * tarief_huidig</f>
        <v>1714086.8469999998</v>
      </c>
    </row>
    <row r="109" spans="1:22" x14ac:dyDescent="0.3">
      <c r="A109"/>
      <c r="B109" s="1" t="s">
        <v>104</v>
      </c>
      <c r="C109" s="34" t="s">
        <v>5</v>
      </c>
      <c r="D10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1891</v>
      </c>
      <c r="E10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20773.5</v>
      </c>
      <c r="F109" s="91">
        <f>SUMIFS(Tabel_VAS2023[aantal_VAS],Tabel_VAS2023[Zaakcode],Tabel_prc_2023[[#This Row],[Zaakcode]],Tabel_VAS2023[Adviesofprocedure],"prc",Tabel_VAS2023[code_punten_forfait],10)</f>
        <v>0</v>
      </c>
      <c r="G109" s="91">
        <f>SUMIFS(Tabel_VAS2023[aantal_VAS],Tabel_VAS2023[Zaakcode],Tabel_prc_2023[[#This Row],[Zaakcode]],Tabel_VAS2023[Adviesofprocedure],"prc",Tabel_VAS2023[code_punten_forfait],11)</f>
        <v>341</v>
      </c>
      <c r="H109" s="92">
        <f>SUMIFS(Tabel_VAS2023[aantal_VAS],Tabel_VAS2023[Zaakcode],Tabel_prc_2023[[#This Row],[Zaakcode]],Tabel_VAS2023[Adviesofprocedure],"prc",Tabel_VAS2023[code_punten_forfait],13)</f>
        <v>2</v>
      </c>
      <c r="I109" s="92">
        <f>SUMIFS(Tabel_VAS2023[aantal_VAS],Tabel_VAS2023[Zaakcode],Tabel_prc_2023[[#This Row],[Zaakcode]],Tabel_VAS2023[Adviesofprocedure],"prc",Tabel_VAS2023[code_punten_forfait],14)</f>
        <v>7</v>
      </c>
      <c r="J109" s="91">
        <f>SUMIFS(Tabel_VAS2023[aantal_VAS],Tabel_VAS2023[Zaakcode],Tabel_prc_2023[[#This Row],[Zaakcode]],Tabel_VAS2023[Adviesofprocedure],"prc",Tabel_VAS2023[code_punten_forfait],12)</f>
        <v>977</v>
      </c>
      <c r="K109" s="92">
        <f>SUMIFS(Tabel_VAS2023[aantal_VAS],Tabel_VAS2023[Zaakcode],Tabel_prc_2023[[#This Row],[Zaakcode]],Tabel_VAS2023[Adviesofprocedure],"prc",Tabel_VAS2023[code_punten_forfait],15)</f>
        <v>18</v>
      </c>
      <c r="L109" s="92">
        <f>SUMIFS(Tabel_VAS2023[aantal_VAS],Tabel_VAS2023[Zaakcode],Tabel_prc_2023[[#This Row],[Zaakcode]],Tabel_VAS2023[Adviesofprocedure],"prc",Tabel_VAS2023[code_punten_forfait],16)</f>
        <v>546</v>
      </c>
      <c r="M109" s="35">
        <f>IFERROR(INDEX(Tabel_forfaits[forfait vanaf 2022],MATCH(Tabel_prc_2023[[#This Row],[Zaakcode]],Tabel_forfaits[Zaakcode],0)), "n.v.t.")</f>
        <v>12</v>
      </c>
      <c r="N109" s="35">
        <f>IFERROR(INDEX(Tabel_forfaits[forfait VdM II voor berekening],MATCH(Tabel_prc_2023[[#This Row],[Zaakcode]],Tabel_forfaits[Zaakcode],0)), "n.v.t.")</f>
        <v>11</v>
      </c>
      <c r="O109" s="36"/>
      <c r="P10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-1318</v>
      </c>
      <c r="Q10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-20</v>
      </c>
      <c r="R10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-829.5</v>
      </c>
      <c r="S109" s="35">
        <f>IF(Tabel_prc_2023[[#This Row],[procedure - forfait VdM II]]="n.v.t.",0,  Tabel_prc_2023[[#This Row],[procedure - aantal 0 punten]] * (Tabel_prc_2023[[#This Row],[procedure - forfait VdM II]] - Tabel_prc_2023[[#This Row],[procedure - forfait VdM I]]))</f>
        <v>0</v>
      </c>
      <c r="T10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1891</v>
      </c>
      <c r="U10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-2167.5</v>
      </c>
      <c r="V109" s="109">
        <f>Tabel_prc_2023[[#This Row],[procedure - totaal extra punten toev. VdM II t.o.v. huidig]] * tarief_huidig</f>
        <v>-331899.52124999999</v>
      </c>
    </row>
    <row r="110" spans="1:22" x14ac:dyDescent="0.3">
      <c r="A110"/>
      <c r="B110" s="1" t="s">
        <v>105</v>
      </c>
      <c r="C110" s="34" t="s">
        <v>5</v>
      </c>
      <c r="D11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4612</v>
      </c>
      <c r="E11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27017</v>
      </c>
      <c r="F110" s="91">
        <f>SUMIFS(Tabel_VAS2023[aantal_VAS],Tabel_VAS2023[Zaakcode],Tabel_prc_2023[[#This Row],[Zaakcode]],Tabel_VAS2023[Adviesofprocedure],"prc",Tabel_VAS2023[code_punten_forfait],10)</f>
        <v>0</v>
      </c>
      <c r="G110" s="91">
        <f>SUMIFS(Tabel_VAS2023[aantal_VAS],Tabel_VAS2023[Zaakcode],Tabel_prc_2023[[#This Row],[Zaakcode]],Tabel_VAS2023[Adviesofprocedure],"prc",Tabel_VAS2023[code_punten_forfait],11)</f>
        <v>382</v>
      </c>
      <c r="H110" s="92">
        <f>SUMIFS(Tabel_VAS2023[aantal_VAS],Tabel_VAS2023[Zaakcode],Tabel_prc_2023[[#This Row],[Zaakcode]],Tabel_VAS2023[Adviesofprocedure],"prc",Tabel_VAS2023[code_punten_forfait],13)</f>
        <v>1</v>
      </c>
      <c r="I110" s="92">
        <f>SUMIFS(Tabel_VAS2023[aantal_VAS],Tabel_VAS2023[Zaakcode],Tabel_prc_2023[[#This Row],[Zaakcode]],Tabel_VAS2023[Adviesofprocedure],"prc",Tabel_VAS2023[code_punten_forfait],14)</f>
        <v>8</v>
      </c>
      <c r="J110" s="91">
        <f>SUMIFS(Tabel_VAS2023[aantal_VAS],Tabel_VAS2023[Zaakcode],Tabel_prc_2023[[#This Row],[Zaakcode]],Tabel_VAS2023[Adviesofprocedure],"prc",Tabel_VAS2023[code_punten_forfait],12)</f>
        <v>4180</v>
      </c>
      <c r="K110" s="92">
        <f>SUMIFS(Tabel_VAS2023[aantal_VAS],Tabel_VAS2023[Zaakcode],Tabel_prc_2023[[#This Row],[Zaakcode]],Tabel_VAS2023[Adviesofprocedure],"prc",Tabel_VAS2023[code_punten_forfait],15)</f>
        <v>4</v>
      </c>
      <c r="L110" s="92">
        <f>SUMIFS(Tabel_VAS2023[aantal_VAS],Tabel_VAS2023[Zaakcode],Tabel_prc_2023[[#This Row],[Zaakcode]],Tabel_VAS2023[Adviesofprocedure],"prc",Tabel_VAS2023[code_punten_forfait],16)</f>
        <v>37</v>
      </c>
      <c r="M110" s="35">
        <f>IFERROR(INDEX(Tabel_forfaits[forfait vanaf 2022],MATCH(Tabel_prc_2023[[#This Row],[Zaakcode]],Tabel_forfaits[Zaakcode],0)), "n.v.t.")</f>
        <v>6</v>
      </c>
      <c r="N110" s="35">
        <f>IFERROR(INDEX(Tabel_forfaits[forfait VdM II voor berekening],MATCH(Tabel_prc_2023[[#This Row],[Zaakcode]],Tabel_forfaits[Zaakcode],0)), "n.v.t.")</f>
        <v>6</v>
      </c>
      <c r="O110" s="36"/>
      <c r="P11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0" s="35">
        <f>IF(Tabel_prc_2023[[#This Row],[procedure - forfait VdM II]]="n.v.t.",0,  Tabel_prc_2023[[#This Row],[procedure - aantal 0 punten]] * (Tabel_prc_2023[[#This Row],[procedure - forfait VdM II]] - Tabel_prc_2023[[#This Row],[procedure - forfait VdM I]]))</f>
        <v>0</v>
      </c>
      <c r="T11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4612</v>
      </c>
      <c r="U11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0" s="109">
        <f>Tabel_prc_2023[[#This Row],[procedure - totaal extra punten toev. VdM II t.o.v. huidig]] * tarief_huidig</f>
        <v>0</v>
      </c>
    </row>
    <row r="111" spans="1:22" x14ac:dyDescent="0.3">
      <c r="A111"/>
      <c r="B111" s="1" t="s">
        <v>106</v>
      </c>
      <c r="C111" s="34" t="s">
        <v>5</v>
      </c>
      <c r="D11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13</v>
      </c>
      <c r="E11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26</v>
      </c>
      <c r="F111" s="91">
        <f>SUMIFS(Tabel_VAS2023[aantal_VAS],Tabel_VAS2023[Zaakcode],Tabel_prc_2023[[#This Row],[Zaakcode]],Tabel_VAS2023[Adviesofprocedure],"prc",Tabel_VAS2023[code_punten_forfait],10)</f>
        <v>0</v>
      </c>
      <c r="G111" s="91">
        <f>SUMIFS(Tabel_VAS2023[aantal_VAS],Tabel_VAS2023[Zaakcode],Tabel_prc_2023[[#This Row],[Zaakcode]],Tabel_VAS2023[Adviesofprocedure],"prc",Tabel_VAS2023[code_punten_forfait],11)</f>
        <v>5</v>
      </c>
      <c r="H111" s="92">
        <f>SUMIFS(Tabel_VAS2023[aantal_VAS],Tabel_VAS2023[Zaakcode],Tabel_prc_2023[[#This Row],[Zaakcode]],Tabel_VAS2023[Adviesofprocedure],"prc",Tabel_VAS2023[code_punten_forfait],13)</f>
        <v>0</v>
      </c>
      <c r="I111" s="92">
        <f>SUMIFS(Tabel_VAS2023[aantal_VAS],Tabel_VAS2023[Zaakcode],Tabel_prc_2023[[#This Row],[Zaakcode]],Tabel_VAS2023[Adviesofprocedure],"prc",Tabel_VAS2023[code_punten_forfait],14)</f>
        <v>0</v>
      </c>
      <c r="J111" s="91">
        <f>SUMIFS(Tabel_VAS2023[aantal_VAS],Tabel_VAS2023[Zaakcode],Tabel_prc_2023[[#This Row],[Zaakcode]],Tabel_VAS2023[Adviesofprocedure],"prc",Tabel_VAS2023[code_punten_forfait],12)</f>
        <v>8</v>
      </c>
      <c r="K111" s="92">
        <f>SUMIFS(Tabel_VAS2023[aantal_VAS],Tabel_VAS2023[Zaakcode],Tabel_prc_2023[[#This Row],[Zaakcode]],Tabel_VAS2023[Adviesofprocedure],"prc",Tabel_VAS2023[code_punten_forfait],15)</f>
        <v>0</v>
      </c>
      <c r="L111" s="92">
        <f>SUMIFS(Tabel_VAS2023[aantal_VAS],Tabel_VAS2023[Zaakcode],Tabel_prc_2023[[#This Row],[Zaakcode]],Tabel_VAS2023[Adviesofprocedure],"prc",Tabel_VAS2023[code_punten_forfait],16)</f>
        <v>0</v>
      </c>
      <c r="M111" s="35">
        <f>IFERROR(INDEX(Tabel_forfaits[forfait vanaf 2022],MATCH(Tabel_prc_2023[[#This Row],[Zaakcode]],Tabel_forfaits[Zaakcode],0)), "n.v.t.")</f>
        <v>2</v>
      </c>
      <c r="N111" s="35">
        <f>IFERROR(INDEX(Tabel_forfaits[forfait VdM II voor berekening],MATCH(Tabel_prc_2023[[#This Row],[Zaakcode]],Tabel_forfaits[Zaakcode],0)), "n.v.t.")</f>
        <v>2</v>
      </c>
      <c r="O111" s="36"/>
      <c r="P11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1" s="35">
        <f>IF(Tabel_prc_2023[[#This Row],[procedure - forfait VdM II]]="n.v.t.",0,  Tabel_prc_2023[[#This Row],[procedure - aantal 0 punten]] * (Tabel_prc_2023[[#This Row],[procedure - forfait VdM II]] - Tabel_prc_2023[[#This Row],[procedure - forfait VdM I]]))</f>
        <v>0</v>
      </c>
      <c r="T11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13</v>
      </c>
      <c r="U11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1" s="109">
        <f>Tabel_prc_2023[[#This Row],[procedure - totaal extra punten toev. VdM II t.o.v. huidig]] * tarief_huidig</f>
        <v>0</v>
      </c>
    </row>
    <row r="112" spans="1:22" x14ac:dyDescent="0.3">
      <c r="A112"/>
      <c r="B112" s="1" t="s">
        <v>107</v>
      </c>
      <c r="C112" s="34" t="s">
        <v>5</v>
      </c>
      <c r="D11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v>
      </c>
      <c r="E11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56</v>
      </c>
      <c r="F112" s="91">
        <f>SUMIFS(Tabel_VAS2023[aantal_VAS],Tabel_VAS2023[Zaakcode],Tabel_prc_2023[[#This Row],[Zaakcode]],Tabel_VAS2023[Adviesofprocedure],"prc",Tabel_VAS2023[code_punten_forfait],10)</f>
        <v>0</v>
      </c>
      <c r="G112" s="91">
        <f>SUMIFS(Tabel_VAS2023[aantal_VAS],Tabel_VAS2023[Zaakcode],Tabel_prc_2023[[#This Row],[Zaakcode]],Tabel_VAS2023[Adviesofprocedure],"prc",Tabel_VAS2023[code_punten_forfait],11)</f>
        <v>2</v>
      </c>
      <c r="H112" s="92">
        <f>SUMIFS(Tabel_VAS2023[aantal_VAS],Tabel_VAS2023[Zaakcode],Tabel_prc_2023[[#This Row],[Zaakcode]],Tabel_VAS2023[Adviesofprocedure],"prc",Tabel_VAS2023[code_punten_forfait],13)</f>
        <v>1</v>
      </c>
      <c r="I112" s="92">
        <f>SUMIFS(Tabel_VAS2023[aantal_VAS],Tabel_VAS2023[Zaakcode],Tabel_prc_2023[[#This Row],[Zaakcode]],Tabel_VAS2023[Adviesofprocedure],"prc",Tabel_VAS2023[code_punten_forfait],14)</f>
        <v>0</v>
      </c>
      <c r="J112" s="91">
        <f>SUMIFS(Tabel_VAS2023[aantal_VAS],Tabel_VAS2023[Zaakcode],Tabel_prc_2023[[#This Row],[Zaakcode]],Tabel_VAS2023[Adviesofprocedure],"prc",Tabel_VAS2023[code_punten_forfait],12)</f>
        <v>0</v>
      </c>
      <c r="K112" s="92">
        <f>SUMIFS(Tabel_VAS2023[aantal_VAS],Tabel_VAS2023[Zaakcode],Tabel_prc_2023[[#This Row],[Zaakcode]],Tabel_VAS2023[Adviesofprocedure],"prc",Tabel_VAS2023[code_punten_forfait],15)</f>
        <v>3</v>
      </c>
      <c r="L112" s="92">
        <f>SUMIFS(Tabel_VAS2023[aantal_VAS],Tabel_VAS2023[Zaakcode],Tabel_prc_2023[[#This Row],[Zaakcode]],Tabel_VAS2023[Adviesofprocedure],"prc",Tabel_VAS2023[code_punten_forfait],16)</f>
        <v>1</v>
      </c>
      <c r="M112" s="35">
        <f>IFERROR(INDEX(Tabel_forfaits[forfait vanaf 2022],MATCH(Tabel_prc_2023[[#This Row],[Zaakcode]],Tabel_forfaits[Zaakcode],0)), "n.v.t.")</f>
        <v>11</v>
      </c>
      <c r="N112" s="35">
        <f>IFERROR(INDEX(Tabel_forfaits[forfait VdM II voor berekening],MATCH(Tabel_prc_2023[[#This Row],[Zaakcode]],Tabel_forfaits[Zaakcode],0)), "n.v.t.")</f>
        <v>11</v>
      </c>
      <c r="O112" s="36"/>
      <c r="P11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2" s="35">
        <f>IF(Tabel_prc_2023[[#This Row],[procedure - forfait VdM II]]="n.v.t.",0,  Tabel_prc_2023[[#This Row],[procedure - aantal 0 punten]] * (Tabel_prc_2023[[#This Row],[procedure - forfait VdM II]] - Tabel_prc_2023[[#This Row],[procedure - forfait VdM I]]))</f>
        <v>0</v>
      </c>
      <c r="T11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v>
      </c>
      <c r="U11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2" s="109">
        <f>Tabel_prc_2023[[#This Row],[procedure - totaal extra punten toev. VdM II t.o.v. huidig]] * tarief_huidig</f>
        <v>0</v>
      </c>
    </row>
    <row r="113" spans="1:22" x14ac:dyDescent="0.3">
      <c r="A113"/>
      <c r="B113" s="1" t="s">
        <v>108</v>
      </c>
      <c r="C113" s="34" t="s">
        <v>5</v>
      </c>
      <c r="D11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76</v>
      </c>
      <c r="E11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622</v>
      </c>
      <c r="F113" s="91">
        <f>SUMIFS(Tabel_VAS2023[aantal_VAS],Tabel_VAS2023[Zaakcode],Tabel_prc_2023[[#This Row],[Zaakcode]],Tabel_VAS2023[Adviesofprocedure],"prc",Tabel_VAS2023[code_punten_forfait],10)</f>
        <v>0</v>
      </c>
      <c r="G113" s="91">
        <f>SUMIFS(Tabel_VAS2023[aantal_VAS],Tabel_VAS2023[Zaakcode],Tabel_prc_2023[[#This Row],[Zaakcode]],Tabel_VAS2023[Adviesofprocedure],"prc",Tabel_VAS2023[code_punten_forfait],11)</f>
        <v>41</v>
      </c>
      <c r="H113" s="92">
        <f>SUMIFS(Tabel_VAS2023[aantal_VAS],Tabel_VAS2023[Zaakcode],Tabel_prc_2023[[#This Row],[Zaakcode]],Tabel_VAS2023[Adviesofprocedure],"prc",Tabel_VAS2023[code_punten_forfait],13)</f>
        <v>0</v>
      </c>
      <c r="I113" s="92">
        <f>SUMIFS(Tabel_VAS2023[aantal_VAS],Tabel_VAS2023[Zaakcode],Tabel_prc_2023[[#This Row],[Zaakcode]],Tabel_VAS2023[Adviesofprocedure],"prc",Tabel_VAS2023[code_punten_forfait],14)</f>
        <v>0</v>
      </c>
      <c r="J113" s="91">
        <f>SUMIFS(Tabel_VAS2023[aantal_VAS],Tabel_VAS2023[Zaakcode],Tabel_prc_2023[[#This Row],[Zaakcode]],Tabel_VAS2023[Adviesofprocedure],"prc",Tabel_VAS2023[code_punten_forfait],12)</f>
        <v>10</v>
      </c>
      <c r="K113" s="92">
        <f>SUMIFS(Tabel_VAS2023[aantal_VAS],Tabel_VAS2023[Zaakcode],Tabel_prc_2023[[#This Row],[Zaakcode]],Tabel_VAS2023[Adviesofprocedure],"prc",Tabel_VAS2023[code_punten_forfait],15)</f>
        <v>1</v>
      </c>
      <c r="L113" s="92">
        <f>SUMIFS(Tabel_VAS2023[aantal_VAS],Tabel_VAS2023[Zaakcode],Tabel_prc_2023[[#This Row],[Zaakcode]],Tabel_VAS2023[Adviesofprocedure],"prc",Tabel_VAS2023[code_punten_forfait],16)</f>
        <v>24</v>
      </c>
      <c r="M113" s="35">
        <f>IFERROR(INDEX(Tabel_forfaits[forfait vanaf 2022],MATCH(Tabel_prc_2023[[#This Row],[Zaakcode]],Tabel_forfaits[Zaakcode],0)), "n.v.t.")</f>
        <v>10</v>
      </c>
      <c r="N113" s="35">
        <f>IFERROR(INDEX(Tabel_forfaits[forfait VdM II voor berekening],MATCH(Tabel_prc_2023[[#This Row],[Zaakcode]],Tabel_forfaits[Zaakcode],0)), "n.v.t.")</f>
        <v>10</v>
      </c>
      <c r="O113" s="36"/>
      <c r="P11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3" s="35">
        <f>IF(Tabel_prc_2023[[#This Row],[procedure - forfait VdM II]]="n.v.t.",0,  Tabel_prc_2023[[#This Row],[procedure - aantal 0 punten]] * (Tabel_prc_2023[[#This Row],[procedure - forfait VdM II]] - Tabel_prc_2023[[#This Row],[procedure - forfait VdM I]]))</f>
        <v>0</v>
      </c>
      <c r="T11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76</v>
      </c>
      <c r="U11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3" s="109">
        <f>Tabel_prc_2023[[#This Row],[procedure - totaal extra punten toev. VdM II t.o.v. huidig]] * tarief_huidig</f>
        <v>0</v>
      </c>
    </row>
    <row r="114" spans="1:22" x14ac:dyDescent="0.3">
      <c r="A114"/>
      <c r="B114" s="1" t="s">
        <v>109</v>
      </c>
      <c r="C114" s="34" t="s">
        <v>5</v>
      </c>
      <c r="D11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27</v>
      </c>
      <c r="E11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149</v>
      </c>
      <c r="F114" s="91">
        <f>SUMIFS(Tabel_VAS2023[aantal_VAS],Tabel_VAS2023[Zaakcode],Tabel_prc_2023[[#This Row],[Zaakcode]],Tabel_VAS2023[Adviesofprocedure],"prc",Tabel_VAS2023[code_punten_forfait],10)</f>
        <v>0</v>
      </c>
      <c r="G114" s="91">
        <f>SUMIFS(Tabel_VAS2023[aantal_VAS],Tabel_VAS2023[Zaakcode],Tabel_prc_2023[[#This Row],[Zaakcode]],Tabel_VAS2023[Adviesofprocedure],"prc",Tabel_VAS2023[code_punten_forfait],11)</f>
        <v>17</v>
      </c>
      <c r="H114" s="92">
        <f>SUMIFS(Tabel_VAS2023[aantal_VAS],Tabel_VAS2023[Zaakcode],Tabel_prc_2023[[#This Row],[Zaakcode]],Tabel_VAS2023[Adviesofprocedure],"prc",Tabel_VAS2023[code_punten_forfait],13)</f>
        <v>0</v>
      </c>
      <c r="I114" s="92">
        <f>SUMIFS(Tabel_VAS2023[aantal_VAS],Tabel_VAS2023[Zaakcode],Tabel_prc_2023[[#This Row],[Zaakcode]],Tabel_VAS2023[Adviesofprocedure],"prc",Tabel_VAS2023[code_punten_forfait],14)</f>
        <v>0</v>
      </c>
      <c r="J114" s="91">
        <f>SUMIFS(Tabel_VAS2023[aantal_VAS],Tabel_VAS2023[Zaakcode],Tabel_prc_2023[[#This Row],[Zaakcode]],Tabel_VAS2023[Adviesofprocedure],"prc",Tabel_VAS2023[code_punten_forfait],12)</f>
        <v>9</v>
      </c>
      <c r="K114" s="92">
        <f>SUMIFS(Tabel_VAS2023[aantal_VAS],Tabel_VAS2023[Zaakcode],Tabel_prc_2023[[#This Row],[Zaakcode]],Tabel_VAS2023[Adviesofprocedure],"prc",Tabel_VAS2023[code_punten_forfait],15)</f>
        <v>0</v>
      </c>
      <c r="L114" s="92">
        <f>SUMIFS(Tabel_VAS2023[aantal_VAS],Tabel_VAS2023[Zaakcode],Tabel_prc_2023[[#This Row],[Zaakcode]],Tabel_VAS2023[Adviesofprocedure],"prc",Tabel_VAS2023[code_punten_forfait],16)</f>
        <v>1</v>
      </c>
      <c r="M114" s="35">
        <f>IFERROR(INDEX(Tabel_forfaits[forfait vanaf 2022],MATCH(Tabel_prc_2023[[#This Row],[Zaakcode]],Tabel_forfaits[Zaakcode],0)), "n.v.t.")</f>
        <v>6</v>
      </c>
      <c r="N114" s="35">
        <f>IFERROR(INDEX(Tabel_forfaits[forfait VdM II voor berekening],MATCH(Tabel_prc_2023[[#This Row],[Zaakcode]],Tabel_forfaits[Zaakcode],0)), "n.v.t.")</f>
        <v>6</v>
      </c>
      <c r="O114" s="36"/>
      <c r="P11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4" s="35">
        <f>IF(Tabel_prc_2023[[#This Row],[procedure - forfait VdM II]]="n.v.t.",0,  Tabel_prc_2023[[#This Row],[procedure - aantal 0 punten]] * (Tabel_prc_2023[[#This Row],[procedure - forfait VdM II]] - Tabel_prc_2023[[#This Row],[procedure - forfait VdM I]]))</f>
        <v>0</v>
      </c>
      <c r="T11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27</v>
      </c>
      <c r="U11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4" s="109">
        <f>Tabel_prc_2023[[#This Row],[procedure - totaal extra punten toev. VdM II t.o.v. huidig]] * tarief_huidig</f>
        <v>0</v>
      </c>
    </row>
    <row r="115" spans="1:22" x14ac:dyDescent="0.3">
      <c r="A115"/>
      <c r="B115" s="1" t="s">
        <v>110</v>
      </c>
      <c r="C115" s="34" t="s">
        <v>5</v>
      </c>
      <c r="D11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359</v>
      </c>
      <c r="E11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3734</v>
      </c>
      <c r="F115" s="91">
        <f>SUMIFS(Tabel_VAS2023[aantal_VAS],Tabel_VAS2023[Zaakcode],Tabel_prc_2023[[#This Row],[Zaakcode]],Tabel_VAS2023[Adviesofprocedure],"prc",Tabel_VAS2023[code_punten_forfait],10)</f>
        <v>0</v>
      </c>
      <c r="G115" s="91">
        <f>SUMIFS(Tabel_VAS2023[aantal_VAS],Tabel_VAS2023[Zaakcode],Tabel_prc_2023[[#This Row],[Zaakcode]],Tabel_VAS2023[Adviesofprocedure],"prc",Tabel_VAS2023[code_punten_forfait],11)</f>
        <v>53</v>
      </c>
      <c r="H115" s="92">
        <f>SUMIFS(Tabel_VAS2023[aantal_VAS],Tabel_VAS2023[Zaakcode],Tabel_prc_2023[[#This Row],[Zaakcode]],Tabel_VAS2023[Adviesofprocedure],"prc",Tabel_VAS2023[code_punten_forfait],13)</f>
        <v>0</v>
      </c>
      <c r="I115" s="92">
        <f>SUMIFS(Tabel_VAS2023[aantal_VAS],Tabel_VAS2023[Zaakcode],Tabel_prc_2023[[#This Row],[Zaakcode]],Tabel_VAS2023[Adviesofprocedure],"prc",Tabel_VAS2023[code_punten_forfait],14)</f>
        <v>1</v>
      </c>
      <c r="J115" s="91">
        <f>SUMIFS(Tabel_VAS2023[aantal_VAS],Tabel_VAS2023[Zaakcode],Tabel_prc_2023[[#This Row],[Zaakcode]],Tabel_VAS2023[Adviesofprocedure],"prc",Tabel_VAS2023[code_punten_forfait],12)</f>
        <v>305</v>
      </c>
      <c r="K115" s="92">
        <f>SUMIFS(Tabel_VAS2023[aantal_VAS],Tabel_VAS2023[Zaakcode],Tabel_prc_2023[[#This Row],[Zaakcode]],Tabel_VAS2023[Adviesofprocedure],"prc",Tabel_VAS2023[code_punten_forfait],15)</f>
        <v>0</v>
      </c>
      <c r="L115" s="92">
        <f>SUMIFS(Tabel_VAS2023[aantal_VAS],Tabel_VAS2023[Zaakcode],Tabel_prc_2023[[#This Row],[Zaakcode]],Tabel_VAS2023[Adviesofprocedure],"prc",Tabel_VAS2023[code_punten_forfait],16)</f>
        <v>0</v>
      </c>
      <c r="M115" s="35">
        <f>IFERROR(INDEX(Tabel_forfaits[forfait vanaf 2022],MATCH(Tabel_prc_2023[[#This Row],[Zaakcode]],Tabel_forfaits[Zaakcode],0)), "n.v.t.")</f>
        <v>11</v>
      </c>
      <c r="N115" s="35">
        <f>IFERROR(INDEX(Tabel_forfaits[forfait VdM II voor berekening],MATCH(Tabel_prc_2023[[#This Row],[Zaakcode]],Tabel_forfaits[Zaakcode],0)), "n.v.t.")</f>
        <v>12</v>
      </c>
      <c r="O115" s="36"/>
      <c r="P11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358</v>
      </c>
      <c r="Q11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1.5</v>
      </c>
      <c r="S115" s="35">
        <f>IF(Tabel_prc_2023[[#This Row],[procedure - forfait VdM II]]="n.v.t.",0,  Tabel_prc_2023[[#This Row],[procedure - aantal 0 punten]] * (Tabel_prc_2023[[#This Row],[procedure - forfait VdM II]] - Tabel_prc_2023[[#This Row],[procedure - forfait VdM I]]))</f>
        <v>0</v>
      </c>
      <c r="T11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359</v>
      </c>
      <c r="U11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359.5</v>
      </c>
      <c r="V115" s="109">
        <f>Tabel_prc_2023[[#This Row],[procedure - totaal extra punten toev. VdM II t.o.v. huidig]] * tarief_huidig</f>
        <v>55048.617249999996</v>
      </c>
    </row>
    <row r="116" spans="1:22" x14ac:dyDescent="0.3">
      <c r="A116"/>
      <c r="B116" s="1" t="s">
        <v>111</v>
      </c>
      <c r="C116" s="34" t="s">
        <v>5</v>
      </c>
      <c r="D11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474</v>
      </c>
      <c r="E11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2104</v>
      </c>
      <c r="F116" s="91">
        <f>SUMIFS(Tabel_VAS2023[aantal_VAS],Tabel_VAS2023[Zaakcode],Tabel_prc_2023[[#This Row],[Zaakcode]],Tabel_VAS2023[Adviesofprocedure],"prc",Tabel_VAS2023[code_punten_forfait],10)</f>
        <v>0</v>
      </c>
      <c r="G116" s="91">
        <f>SUMIFS(Tabel_VAS2023[aantal_VAS],Tabel_VAS2023[Zaakcode],Tabel_prc_2023[[#This Row],[Zaakcode]],Tabel_VAS2023[Adviesofprocedure],"prc",Tabel_VAS2023[code_punten_forfait],11)</f>
        <v>88</v>
      </c>
      <c r="H116" s="92">
        <f>SUMIFS(Tabel_VAS2023[aantal_VAS],Tabel_VAS2023[Zaakcode],Tabel_prc_2023[[#This Row],[Zaakcode]],Tabel_VAS2023[Adviesofprocedure],"prc",Tabel_VAS2023[code_punten_forfait],13)</f>
        <v>0</v>
      </c>
      <c r="I116" s="92">
        <f>SUMIFS(Tabel_VAS2023[aantal_VAS],Tabel_VAS2023[Zaakcode],Tabel_prc_2023[[#This Row],[Zaakcode]],Tabel_VAS2023[Adviesofprocedure],"prc",Tabel_VAS2023[code_punten_forfait],14)</f>
        <v>2</v>
      </c>
      <c r="J116" s="91">
        <f>SUMIFS(Tabel_VAS2023[aantal_VAS],Tabel_VAS2023[Zaakcode],Tabel_prc_2023[[#This Row],[Zaakcode]],Tabel_VAS2023[Adviesofprocedure],"prc",Tabel_VAS2023[code_punten_forfait],12)</f>
        <v>383</v>
      </c>
      <c r="K116" s="92">
        <f>SUMIFS(Tabel_VAS2023[aantal_VAS],Tabel_VAS2023[Zaakcode],Tabel_prc_2023[[#This Row],[Zaakcode]],Tabel_VAS2023[Adviesofprocedure],"prc",Tabel_VAS2023[code_punten_forfait],15)</f>
        <v>1</v>
      </c>
      <c r="L116" s="92">
        <f>SUMIFS(Tabel_VAS2023[aantal_VAS],Tabel_VAS2023[Zaakcode],Tabel_prc_2023[[#This Row],[Zaakcode]],Tabel_VAS2023[Adviesofprocedure],"prc",Tabel_VAS2023[code_punten_forfait],16)</f>
        <v>0</v>
      </c>
      <c r="M116" s="35">
        <f>IFERROR(INDEX(Tabel_forfaits[forfait vanaf 2022],MATCH(Tabel_prc_2023[[#This Row],[Zaakcode]],Tabel_forfaits[Zaakcode],0)), "n.v.t.")</f>
        <v>5</v>
      </c>
      <c r="N116" s="35">
        <f>IFERROR(INDEX(Tabel_forfaits[forfait VdM II voor berekening],MATCH(Tabel_prc_2023[[#This Row],[Zaakcode]],Tabel_forfaits[Zaakcode],0)), "n.v.t.")</f>
        <v>9</v>
      </c>
      <c r="O116" s="36"/>
      <c r="P11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1884</v>
      </c>
      <c r="Q11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4</v>
      </c>
      <c r="R11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12</v>
      </c>
      <c r="S116" s="35">
        <f>IF(Tabel_prc_2023[[#This Row],[procedure - forfait VdM II]]="n.v.t.",0,  Tabel_prc_2023[[#This Row],[procedure - aantal 0 punten]] * (Tabel_prc_2023[[#This Row],[procedure - forfait VdM II]] - Tabel_prc_2023[[#This Row],[procedure - forfait VdM I]]))</f>
        <v>0</v>
      </c>
      <c r="T11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474</v>
      </c>
      <c r="U11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1900</v>
      </c>
      <c r="V116" s="109">
        <f>Tabel_prc_2023[[#This Row],[procedure - totaal extra punten toev. VdM II t.o.v. huidig]] * tarief_huidig</f>
        <v>290938.44999999995</v>
      </c>
    </row>
    <row r="117" spans="1:22" x14ac:dyDescent="0.3">
      <c r="A117"/>
      <c r="B117" s="1" t="s">
        <v>112</v>
      </c>
      <c r="C117" s="34" t="s">
        <v>5</v>
      </c>
      <c r="D11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45</v>
      </c>
      <c r="E11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412</v>
      </c>
      <c r="F117" s="91">
        <f>SUMIFS(Tabel_VAS2023[aantal_VAS],Tabel_VAS2023[Zaakcode],Tabel_prc_2023[[#This Row],[Zaakcode]],Tabel_VAS2023[Adviesofprocedure],"prc",Tabel_VAS2023[code_punten_forfait],10)</f>
        <v>0</v>
      </c>
      <c r="G117" s="91">
        <f>SUMIFS(Tabel_VAS2023[aantal_VAS],Tabel_VAS2023[Zaakcode],Tabel_prc_2023[[#This Row],[Zaakcode]],Tabel_VAS2023[Adviesofprocedure],"prc",Tabel_VAS2023[code_punten_forfait],11)</f>
        <v>19</v>
      </c>
      <c r="H117" s="92">
        <f>SUMIFS(Tabel_VAS2023[aantal_VAS],Tabel_VAS2023[Zaakcode],Tabel_prc_2023[[#This Row],[Zaakcode]],Tabel_VAS2023[Adviesofprocedure],"prc",Tabel_VAS2023[code_punten_forfait],13)</f>
        <v>0</v>
      </c>
      <c r="I117" s="92">
        <f>SUMIFS(Tabel_VAS2023[aantal_VAS],Tabel_VAS2023[Zaakcode],Tabel_prc_2023[[#This Row],[Zaakcode]],Tabel_VAS2023[Adviesofprocedure],"prc",Tabel_VAS2023[code_punten_forfait],14)</f>
        <v>0</v>
      </c>
      <c r="J117" s="91">
        <f>SUMIFS(Tabel_VAS2023[aantal_VAS],Tabel_VAS2023[Zaakcode],Tabel_prc_2023[[#This Row],[Zaakcode]],Tabel_VAS2023[Adviesofprocedure],"prc",Tabel_VAS2023[code_punten_forfait],12)</f>
        <v>26</v>
      </c>
      <c r="K117" s="92">
        <f>SUMIFS(Tabel_VAS2023[aantal_VAS],Tabel_VAS2023[Zaakcode],Tabel_prc_2023[[#This Row],[Zaakcode]],Tabel_VAS2023[Adviesofprocedure],"prc",Tabel_VAS2023[code_punten_forfait],15)</f>
        <v>0</v>
      </c>
      <c r="L117" s="92">
        <f>SUMIFS(Tabel_VAS2023[aantal_VAS],Tabel_VAS2023[Zaakcode],Tabel_prc_2023[[#This Row],[Zaakcode]],Tabel_VAS2023[Adviesofprocedure],"prc",Tabel_VAS2023[code_punten_forfait],16)</f>
        <v>0</v>
      </c>
      <c r="M117" s="35">
        <f>IFERROR(INDEX(Tabel_forfaits[forfait vanaf 2022],MATCH(Tabel_prc_2023[[#This Row],[Zaakcode]],Tabel_forfaits[Zaakcode],0)), "n.v.t.")</f>
        <v>10</v>
      </c>
      <c r="N117" s="35">
        <f>IFERROR(INDEX(Tabel_forfaits[forfait VdM II voor berekening],MATCH(Tabel_prc_2023[[#This Row],[Zaakcode]],Tabel_forfaits[Zaakcode],0)), "n.v.t.")</f>
        <v>10</v>
      </c>
      <c r="O117" s="36"/>
      <c r="P11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7" s="35">
        <f>IF(Tabel_prc_2023[[#This Row],[procedure - forfait VdM II]]="n.v.t.",0,  Tabel_prc_2023[[#This Row],[procedure - aantal 0 punten]] * (Tabel_prc_2023[[#This Row],[procedure - forfait VdM II]] - Tabel_prc_2023[[#This Row],[procedure - forfait VdM I]]))</f>
        <v>0</v>
      </c>
      <c r="T11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45</v>
      </c>
      <c r="U11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7" s="109">
        <f>Tabel_prc_2023[[#This Row],[procedure - totaal extra punten toev. VdM II t.o.v. huidig]] * tarief_huidig</f>
        <v>0</v>
      </c>
    </row>
    <row r="118" spans="1:22" x14ac:dyDescent="0.3">
      <c r="A118"/>
      <c r="B118" s="1" t="s">
        <v>113</v>
      </c>
      <c r="C118" s="34" t="s">
        <v>5</v>
      </c>
      <c r="D11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164</v>
      </c>
      <c r="E11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813</v>
      </c>
      <c r="F118" s="91">
        <f>SUMIFS(Tabel_VAS2023[aantal_VAS],Tabel_VAS2023[Zaakcode],Tabel_prc_2023[[#This Row],[Zaakcode]],Tabel_VAS2023[Adviesofprocedure],"prc",Tabel_VAS2023[code_punten_forfait],10)</f>
        <v>0</v>
      </c>
      <c r="G118" s="91">
        <f>SUMIFS(Tabel_VAS2023[aantal_VAS],Tabel_VAS2023[Zaakcode],Tabel_prc_2023[[#This Row],[Zaakcode]],Tabel_VAS2023[Adviesofprocedure],"prc",Tabel_VAS2023[code_punten_forfait],11)</f>
        <v>5</v>
      </c>
      <c r="H118" s="92">
        <f>SUMIFS(Tabel_VAS2023[aantal_VAS],Tabel_VAS2023[Zaakcode],Tabel_prc_2023[[#This Row],[Zaakcode]],Tabel_VAS2023[Adviesofprocedure],"prc",Tabel_VAS2023[code_punten_forfait],13)</f>
        <v>0</v>
      </c>
      <c r="I118" s="92">
        <f>SUMIFS(Tabel_VAS2023[aantal_VAS],Tabel_VAS2023[Zaakcode],Tabel_prc_2023[[#This Row],[Zaakcode]],Tabel_VAS2023[Adviesofprocedure],"prc",Tabel_VAS2023[code_punten_forfait],14)</f>
        <v>0</v>
      </c>
      <c r="J118" s="91">
        <f>SUMIFS(Tabel_VAS2023[aantal_VAS],Tabel_VAS2023[Zaakcode],Tabel_prc_2023[[#This Row],[Zaakcode]],Tabel_VAS2023[Adviesofprocedure],"prc",Tabel_VAS2023[code_punten_forfait],12)</f>
        <v>157</v>
      </c>
      <c r="K118" s="92">
        <f>SUMIFS(Tabel_VAS2023[aantal_VAS],Tabel_VAS2023[Zaakcode],Tabel_prc_2023[[#This Row],[Zaakcode]],Tabel_VAS2023[Adviesofprocedure],"prc",Tabel_VAS2023[code_punten_forfait],15)</f>
        <v>0</v>
      </c>
      <c r="L118" s="92">
        <f>SUMIFS(Tabel_VAS2023[aantal_VAS],Tabel_VAS2023[Zaakcode],Tabel_prc_2023[[#This Row],[Zaakcode]],Tabel_VAS2023[Adviesofprocedure],"prc",Tabel_VAS2023[code_punten_forfait],16)</f>
        <v>2</v>
      </c>
      <c r="M118" s="35">
        <f>IFERROR(INDEX(Tabel_forfaits[forfait vanaf 2022],MATCH(Tabel_prc_2023[[#This Row],[Zaakcode]],Tabel_forfaits[Zaakcode],0)), "n.v.t.")</f>
        <v>5</v>
      </c>
      <c r="N118" s="35">
        <f>IFERROR(INDEX(Tabel_forfaits[forfait VdM II voor berekening],MATCH(Tabel_prc_2023[[#This Row],[Zaakcode]],Tabel_forfaits[Zaakcode],0)), "n.v.t.")</f>
        <v>9</v>
      </c>
      <c r="O118" s="36"/>
      <c r="P11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648</v>
      </c>
      <c r="Q11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12</v>
      </c>
      <c r="S118" s="35">
        <f>IF(Tabel_prc_2023[[#This Row],[procedure - forfait VdM II]]="n.v.t.",0,  Tabel_prc_2023[[#This Row],[procedure - aantal 0 punten]] * (Tabel_prc_2023[[#This Row],[procedure - forfait VdM II]] - Tabel_prc_2023[[#This Row],[procedure - forfait VdM I]]))</f>
        <v>0</v>
      </c>
      <c r="T11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164</v>
      </c>
      <c r="U11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660</v>
      </c>
      <c r="V118" s="109">
        <f>Tabel_prc_2023[[#This Row],[procedure - totaal extra punten toev. VdM II t.o.v. huidig]] * tarief_huidig</f>
        <v>101062.82999999999</v>
      </c>
    </row>
    <row r="119" spans="1:22" x14ac:dyDescent="0.3">
      <c r="A119"/>
      <c r="B119" s="1" t="s">
        <v>114</v>
      </c>
      <c r="C119" s="34" t="s">
        <v>5</v>
      </c>
      <c r="D11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14</v>
      </c>
      <c r="E11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74</v>
      </c>
      <c r="F119" s="91">
        <f>SUMIFS(Tabel_VAS2023[aantal_VAS],Tabel_VAS2023[Zaakcode],Tabel_prc_2023[[#This Row],[Zaakcode]],Tabel_VAS2023[Adviesofprocedure],"prc",Tabel_VAS2023[code_punten_forfait],10)</f>
        <v>0</v>
      </c>
      <c r="G119" s="91">
        <f>SUMIFS(Tabel_VAS2023[aantal_VAS],Tabel_VAS2023[Zaakcode],Tabel_prc_2023[[#This Row],[Zaakcode]],Tabel_VAS2023[Adviesofprocedure],"prc",Tabel_VAS2023[code_punten_forfait],11)</f>
        <v>10</v>
      </c>
      <c r="H119" s="92">
        <f>SUMIFS(Tabel_VAS2023[aantal_VAS],Tabel_VAS2023[Zaakcode],Tabel_prc_2023[[#This Row],[Zaakcode]],Tabel_VAS2023[Adviesofprocedure],"prc",Tabel_VAS2023[code_punten_forfait],13)</f>
        <v>0</v>
      </c>
      <c r="I119" s="92">
        <f>SUMIFS(Tabel_VAS2023[aantal_VAS],Tabel_VAS2023[Zaakcode],Tabel_prc_2023[[#This Row],[Zaakcode]],Tabel_VAS2023[Adviesofprocedure],"prc",Tabel_VAS2023[code_punten_forfait],14)</f>
        <v>0</v>
      </c>
      <c r="J119" s="91">
        <f>SUMIFS(Tabel_VAS2023[aantal_VAS],Tabel_VAS2023[Zaakcode],Tabel_prc_2023[[#This Row],[Zaakcode]],Tabel_VAS2023[Adviesofprocedure],"prc",Tabel_VAS2023[code_punten_forfait],12)</f>
        <v>4</v>
      </c>
      <c r="K119" s="92">
        <f>SUMIFS(Tabel_VAS2023[aantal_VAS],Tabel_VAS2023[Zaakcode],Tabel_prc_2023[[#This Row],[Zaakcode]],Tabel_VAS2023[Adviesofprocedure],"prc",Tabel_VAS2023[code_punten_forfait],15)</f>
        <v>0</v>
      </c>
      <c r="L119" s="92">
        <f>SUMIFS(Tabel_VAS2023[aantal_VAS],Tabel_VAS2023[Zaakcode],Tabel_prc_2023[[#This Row],[Zaakcode]],Tabel_VAS2023[Adviesofprocedure],"prc",Tabel_VAS2023[code_punten_forfait],16)</f>
        <v>0</v>
      </c>
      <c r="M119" s="35">
        <f>IFERROR(INDEX(Tabel_forfaits[forfait vanaf 2022],MATCH(Tabel_prc_2023[[#This Row],[Zaakcode]],Tabel_forfaits[Zaakcode],0)), "n.v.t.")</f>
        <v>6</v>
      </c>
      <c r="N119" s="35">
        <f>IFERROR(INDEX(Tabel_forfaits[forfait VdM II voor berekening],MATCH(Tabel_prc_2023[[#This Row],[Zaakcode]],Tabel_forfaits[Zaakcode],0)), "n.v.t.")</f>
        <v>6</v>
      </c>
      <c r="O119" s="36"/>
      <c r="P11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1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1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19" s="35">
        <f>IF(Tabel_prc_2023[[#This Row],[procedure - forfait VdM II]]="n.v.t.",0,  Tabel_prc_2023[[#This Row],[procedure - aantal 0 punten]] * (Tabel_prc_2023[[#This Row],[procedure - forfait VdM II]] - Tabel_prc_2023[[#This Row],[procedure - forfait VdM I]]))</f>
        <v>0</v>
      </c>
      <c r="T11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14</v>
      </c>
      <c r="U11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19" s="109">
        <f>Tabel_prc_2023[[#This Row],[procedure - totaal extra punten toev. VdM II t.o.v. huidig]] * tarief_huidig</f>
        <v>0</v>
      </c>
    </row>
    <row r="120" spans="1:22" x14ac:dyDescent="0.3">
      <c r="A120"/>
      <c r="B120" s="1" t="s">
        <v>115</v>
      </c>
      <c r="C120" s="34" t="s">
        <v>5</v>
      </c>
      <c r="D12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102</v>
      </c>
      <c r="E12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374</v>
      </c>
      <c r="F120" s="91">
        <f>SUMIFS(Tabel_VAS2023[aantal_VAS],Tabel_VAS2023[Zaakcode],Tabel_prc_2023[[#This Row],[Zaakcode]],Tabel_VAS2023[Adviesofprocedure],"prc",Tabel_VAS2023[code_punten_forfait],10)</f>
        <v>0</v>
      </c>
      <c r="G120" s="91">
        <f>SUMIFS(Tabel_VAS2023[aantal_VAS],Tabel_VAS2023[Zaakcode],Tabel_prc_2023[[#This Row],[Zaakcode]],Tabel_VAS2023[Adviesofprocedure],"prc",Tabel_VAS2023[code_punten_forfait],11)</f>
        <v>18</v>
      </c>
      <c r="H120" s="92">
        <f>SUMIFS(Tabel_VAS2023[aantal_VAS],Tabel_VAS2023[Zaakcode],Tabel_prc_2023[[#This Row],[Zaakcode]],Tabel_VAS2023[Adviesofprocedure],"prc",Tabel_VAS2023[code_punten_forfait],13)</f>
        <v>0</v>
      </c>
      <c r="I120" s="92">
        <f>SUMIFS(Tabel_VAS2023[aantal_VAS],Tabel_VAS2023[Zaakcode],Tabel_prc_2023[[#This Row],[Zaakcode]],Tabel_VAS2023[Adviesofprocedure],"prc",Tabel_VAS2023[code_punten_forfait],14)</f>
        <v>0</v>
      </c>
      <c r="J120" s="91">
        <f>SUMIFS(Tabel_VAS2023[aantal_VAS],Tabel_VAS2023[Zaakcode],Tabel_prc_2023[[#This Row],[Zaakcode]],Tabel_VAS2023[Adviesofprocedure],"prc",Tabel_VAS2023[code_punten_forfait],12)</f>
        <v>83</v>
      </c>
      <c r="K120" s="92">
        <f>SUMIFS(Tabel_VAS2023[aantal_VAS],Tabel_VAS2023[Zaakcode],Tabel_prc_2023[[#This Row],[Zaakcode]],Tabel_VAS2023[Adviesofprocedure],"prc",Tabel_VAS2023[code_punten_forfait],15)</f>
        <v>0</v>
      </c>
      <c r="L120" s="92">
        <f>SUMIFS(Tabel_VAS2023[aantal_VAS],Tabel_VAS2023[Zaakcode],Tabel_prc_2023[[#This Row],[Zaakcode]],Tabel_VAS2023[Adviesofprocedure],"prc",Tabel_VAS2023[code_punten_forfait],16)</f>
        <v>1</v>
      </c>
      <c r="M120" s="35">
        <f>IFERROR(INDEX(Tabel_forfaits[forfait vanaf 2022],MATCH(Tabel_prc_2023[[#This Row],[Zaakcode]],Tabel_forfaits[Zaakcode],0)), "n.v.t.")</f>
        <v>4</v>
      </c>
      <c r="N120" s="35">
        <f>IFERROR(INDEX(Tabel_forfaits[forfait VdM II voor berekening],MATCH(Tabel_prc_2023[[#This Row],[Zaakcode]],Tabel_forfaits[Zaakcode],0)), "n.v.t.")</f>
        <v>7</v>
      </c>
      <c r="O120" s="36"/>
      <c r="P12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303</v>
      </c>
      <c r="Q12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4.5</v>
      </c>
      <c r="S120" s="35">
        <f>IF(Tabel_prc_2023[[#This Row],[procedure - forfait VdM II]]="n.v.t.",0,  Tabel_prc_2023[[#This Row],[procedure - aantal 0 punten]] * (Tabel_prc_2023[[#This Row],[procedure - forfait VdM II]] - Tabel_prc_2023[[#This Row],[procedure - forfait VdM I]]))</f>
        <v>0</v>
      </c>
      <c r="T12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102</v>
      </c>
      <c r="U12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307.5</v>
      </c>
      <c r="V120" s="109">
        <f>Tabel_prc_2023[[#This Row],[procedure - totaal extra punten toev. VdM II t.o.v. huidig]] * tarief_huidig</f>
        <v>47086.091249999998</v>
      </c>
    </row>
    <row r="121" spans="1:22" x14ac:dyDescent="0.3">
      <c r="A121"/>
      <c r="B121" s="1" t="s">
        <v>116</v>
      </c>
      <c r="C121" s="34" t="s">
        <v>5</v>
      </c>
      <c r="D12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v>
      </c>
      <c r="E12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65</v>
      </c>
      <c r="F121" s="91">
        <f>SUMIFS(Tabel_VAS2023[aantal_VAS],Tabel_VAS2023[Zaakcode],Tabel_prc_2023[[#This Row],[Zaakcode]],Tabel_VAS2023[Adviesofprocedure],"prc",Tabel_VAS2023[code_punten_forfait],10)</f>
        <v>0</v>
      </c>
      <c r="G121" s="91">
        <f>SUMIFS(Tabel_VAS2023[aantal_VAS],Tabel_VAS2023[Zaakcode],Tabel_prc_2023[[#This Row],[Zaakcode]],Tabel_VAS2023[Adviesofprocedure],"prc",Tabel_VAS2023[code_punten_forfait],11)</f>
        <v>3</v>
      </c>
      <c r="H121" s="92">
        <f>SUMIFS(Tabel_VAS2023[aantal_VAS],Tabel_VAS2023[Zaakcode],Tabel_prc_2023[[#This Row],[Zaakcode]],Tabel_VAS2023[Adviesofprocedure],"prc",Tabel_VAS2023[code_punten_forfait],13)</f>
        <v>0</v>
      </c>
      <c r="I121" s="92">
        <f>SUMIFS(Tabel_VAS2023[aantal_VAS],Tabel_VAS2023[Zaakcode],Tabel_prc_2023[[#This Row],[Zaakcode]],Tabel_VAS2023[Adviesofprocedure],"prc",Tabel_VAS2023[code_punten_forfait],14)</f>
        <v>0</v>
      </c>
      <c r="J121" s="91">
        <f>SUMIFS(Tabel_VAS2023[aantal_VAS],Tabel_VAS2023[Zaakcode],Tabel_prc_2023[[#This Row],[Zaakcode]],Tabel_VAS2023[Adviesofprocedure],"prc",Tabel_VAS2023[code_punten_forfait],12)</f>
        <v>4</v>
      </c>
      <c r="K121" s="92">
        <f>SUMIFS(Tabel_VAS2023[aantal_VAS],Tabel_VAS2023[Zaakcode],Tabel_prc_2023[[#This Row],[Zaakcode]],Tabel_VAS2023[Adviesofprocedure],"prc",Tabel_VAS2023[code_punten_forfait],15)</f>
        <v>0</v>
      </c>
      <c r="L121" s="92">
        <f>SUMIFS(Tabel_VAS2023[aantal_VAS],Tabel_VAS2023[Zaakcode],Tabel_prc_2023[[#This Row],[Zaakcode]],Tabel_VAS2023[Adviesofprocedure],"prc",Tabel_VAS2023[code_punten_forfait],16)</f>
        <v>2</v>
      </c>
      <c r="M121" s="35">
        <f>IFERROR(INDEX(Tabel_forfaits[forfait vanaf 2022],MATCH(Tabel_prc_2023[[#This Row],[Zaakcode]],Tabel_forfaits[Zaakcode],0)), "n.v.t.")</f>
        <v>7</v>
      </c>
      <c r="N121" s="35">
        <f>IFERROR(INDEX(Tabel_forfaits[forfait VdM II voor berekening],MATCH(Tabel_prc_2023[[#This Row],[Zaakcode]],Tabel_forfaits[Zaakcode],0)), "n.v.t.")</f>
        <v>7</v>
      </c>
      <c r="O121" s="36"/>
      <c r="P12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1" s="35">
        <f>IF(Tabel_prc_2023[[#This Row],[procedure - forfait VdM II]]="n.v.t.",0,  Tabel_prc_2023[[#This Row],[procedure - aantal 0 punten]] * (Tabel_prc_2023[[#This Row],[procedure - forfait VdM II]] - Tabel_prc_2023[[#This Row],[procedure - forfait VdM I]]))</f>
        <v>0</v>
      </c>
      <c r="T12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9</v>
      </c>
      <c r="U12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1" s="109">
        <f>Tabel_prc_2023[[#This Row],[procedure - totaal extra punten toev. VdM II t.o.v. huidig]] * tarief_huidig</f>
        <v>0</v>
      </c>
    </row>
    <row r="122" spans="1:22" x14ac:dyDescent="0.3">
      <c r="A122"/>
      <c r="B122" s="1" t="s">
        <v>117</v>
      </c>
      <c r="C122" s="34" t="s">
        <v>5</v>
      </c>
      <c r="D12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v>
      </c>
      <c r="E12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56</v>
      </c>
      <c r="F122" s="91">
        <f>SUMIFS(Tabel_VAS2023[aantal_VAS],Tabel_VAS2023[Zaakcode],Tabel_prc_2023[[#This Row],[Zaakcode]],Tabel_VAS2023[Adviesofprocedure],"prc",Tabel_VAS2023[code_punten_forfait],10)</f>
        <v>0</v>
      </c>
      <c r="G122" s="91">
        <f>SUMIFS(Tabel_VAS2023[aantal_VAS],Tabel_VAS2023[Zaakcode],Tabel_prc_2023[[#This Row],[Zaakcode]],Tabel_VAS2023[Adviesofprocedure],"prc",Tabel_VAS2023[code_punten_forfait],11)</f>
        <v>2</v>
      </c>
      <c r="H122" s="92">
        <f>SUMIFS(Tabel_VAS2023[aantal_VAS],Tabel_VAS2023[Zaakcode],Tabel_prc_2023[[#This Row],[Zaakcode]],Tabel_VAS2023[Adviesofprocedure],"prc",Tabel_VAS2023[code_punten_forfait],13)</f>
        <v>0</v>
      </c>
      <c r="I122" s="92">
        <f>SUMIFS(Tabel_VAS2023[aantal_VAS],Tabel_VAS2023[Zaakcode],Tabel_prc_2023[[#This Row],[Zaakcode]],Tabel_VAS2023[Adviesofprocedure],"prc",Tabel_VAS2023[code_punten_forfait],14)</f>
        <v>0</v>
      </c>
      <c r="J122" s="91">
        <f>SUMIFS(Tabel_VAS2023[aantal_VAS],Tabel_VAS2023[Zaakcode],Tabel_prc_2023[[#This Row],[Zaakcode]],Tabel_VAS2023[Adviesofprocedure],"prc",Tabel_VAS2023[code_punten_forfait],12)</f>
        <v>5</v>
      </c>
      <c r="K122" s="92">
        <f>SUMIFS(Tabel_VAS2023[aantal_VAS],Tabel_VAS2023[Zaakcode],Tabel_prc_2023[[#This Row],[Zaakcode]],Tabel_VAS2023[Adviesofprocedure],"prc",Tabel_VAS2023[code_punten_forfait],15)</f>
        <v>0</v>
      </c>
      <c r="L122" s="92">
        <f>SUMIFS(Tabel_VAS2023[aantal_VAS],Tabel_VAS2023[Zaakcode],Tabel_prc_2023[[#This Row],[Zaakcode]],Tabel_VAS2023[Adviesofprocedure],"prc",Tabel_VAS2023[code_punten_forfait],16)</f>
        <v>0</v>
      </c>
      <c r="M122" s="35">
        <f>IFERROR(INDEX(Tabel_forfaits[forfait vanaf 2022],MATCH(Tabel_prc_2023[[#This Row],[Zaakcode]],Tabel_forfaits[Zaakcode],0)), "n.v.t.")</f>
        <v>8</v>
      </c>
      <c r="N122" s="35">
        <f>IFERROR(INDEX(Tabel_forfaits[forfait VdM II voor berekening],MATCH(Tabel_prc_2023[[#This Row],[Zaakcode]],Tabel_forfaits[Zaakcode],0)), "n.v.t.")</f>
        <v>8</v>
      </c>
      <c r="O122" s="36"/>
      <c r="P12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2" s="35">
        <f>IF(Tabel_prc_2023[[#This Row],[procedure - forfait VdM II]]="n.v.t.",0,  Tabel_prc_2023[[#This Row],[procedure - aantal 0 punten]] * (Tabel_prc_2023[[#This Row],[procedure - forfait VdM II]] - Tabel_prc_2023[[#This Row],[procedure - forfait VdM I]]))</f>
        <v>0</v>
      </c>
      <c r="T12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v>
      </c>
      <c r="U12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2" s="109">
        <f>Tabel_prc_2023[[#This Row],[procedure - totaal extra punten toev. VdM II t.o.v. huidig]] * tarief_huidig</f>
        <v>0</v>
      </c>
    </row>
    <row r="123" spans="1:22" x14ac:dyDescent="0.3">
      <c r="A123"/>
      <c r="B123" s="1" t="s">
        <v>118</v>
      </c>
      <c r="C123" s="34" t="s">
        <v>5</v>
      </c>
      <c r="D12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v>
      </c>
      <c r="E12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v>
      </c>
      <c r="F123" s="91">
        <f>SUMIFS(Tabel_VAS2023[aantal_VAS],Tabel_VAS2023[Zaakcode],Tabel_prc_2023[[#This Row],[Zaakcode]],Tabel_VAS2023[Adviesofprocedure],"prc",Tabel_VAS2023[code_punten_forfait],10)</f>
        <v>0</v>
      </c>
      <c r="G123" s="91">
        <f>SUMIFS(Tabel_VAS2023[aantal_VAS],Tabel_VAS2023[Zaakcode],Tabel_prc_2023[[#This Row],[Zaakcode]],Tabel_VAS2023[Adviesofprocedure],"prc",Tabel_VAS2023[code_punten_forfait],11)</f>
        <v>0</v>
      </c>
      <c r="H123" s="92">
        <f>SUMIFS(Tabel_VAS2023[aantal_VAS],Tabel_VAS2023[Zaakcode],Tabel_prc_2023[[#This Row],[Zaakcode]],Tabel_VAS2023[Adviesofprocedure],"prc",Tabel_VAS2023[code_punten_forfait],13)</f>
        <v>0</v>
      </c>
      <c r="I123" s="92">
        <f>SUMIFS(Tabel_VAS2023[aantal_VAS],Tabel_VAS2023[Zaakcode],Tabel_prc_2023[[#This Row],[Zaakcode]],Tabel_VAS2023[Adviesofprocedure],"prc",Tabel_VAS2023[code_punten_forfait],14)</f>
        <v>0</v>
      </c>
      <c r="J123" s="91">
        <f>SUMIFS(Tabel_VAS2023[aantal_VAS],Tabel_VAS2023[Zaakcode],Tabel_prc_2023[[#This Row],[Zaakcode]],Tabel_VAS2023[Adviesofprocedure],"prc",Tabel_VAS2023[code_punten_forfait],12)</f>
        <v>1</v>
      </c>
      <c r="K123" s="92">
        <f>SUMIFS(Tabel_VAS2023[aantal_VAS],Tabel_VAS2023[Zaakcode],Tabel_prc_2023[[#This Row],[Zaakcode]],Tabel_VAS2023[Adviesofprocedure],"prc",Tabel_VAS2023[code_punten_forfait],15)</f>
        <v>0</v>
      </c>
      <c r="L123" s="92">
        <f>SUMIFS(Tabel_VAS2023[aantal_VAS],Tabel_VAS2023[Zaakcode],Tabel_prc_2023[[#This Row],[Zaakcode]],Tabel_VAS2023[Adviesofprocedure],"prc",Tabel_VAS2023[code_punten_forfait],16)</f>
        <v>0</v>
      </c>
      <c r="M123" s="35">
        <f>IFERROR(INDEX(Tabel_forfaits[forfait vanaf 2022],MATCH(Tabel_prc_2023[[#This Row],[Zaakcode]],Tabel_forfaits[Zaakcode],0)), "n.v.t.")</f>
        <v>5</v>
      </c>
      <c r="N123" s="35">
        <f>IFERROR(INDEX(Tabel_forfaits[forfait VdM II voor berekening],MATCH(Tabel_prc_2023[[#This Row],[Zaakcode]],Tabel_forfaits[Zaakcode],0)), "n.v.t.")</f>
        <v>5</v>
      </c>
      <c r="O123" s="36"/>
      <c r="P12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3" s="35">
        <f>IF(Tabel_prc_2023[[#This Row],[procedure - forfait VdM II]]="n.v.t.",0,  Tabel_prc_2023[[#This Row],[procedure - aantal 0 punten]] * (Tabel_prc_2023[[#This Row],[procedure - forfait VdM II]] - Tabel_prc_2023[[#This Row],[procedure - forfait VdM I]]))</f>
        <v>0</v>
      </c>
      <c r="T12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v>
      </c>
      <c r="U12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3" s="109">
        <f>Tabel_prc_2023[[#This Row],[procedure - totaal extra punten toev. VdM II t.o.v. huidig]] * tarief_huidig</f>
        <v>0</v>
      </c>
    </row>
    <row r="124" spans="1:22" x14ac:dyDescent="0.3">
      <c r="A124"/>
      <c r="B124" s="1" t="s">
        <v>119</v>
      </c>
      <c r="C124" s="34" t="s">
        <v>5</v>
      </c>
      <c r="D12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v>
      </c>
      <c r="E12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35</v>
      </c>
      <c r="F124" s="91">
        <f>SUMIFS(Tabel_VAS2023[aantal_VAS],Tabel_VAS2023[Zaakcode],Tabel_prc_2023[[#This Row],[Zaakcode]],Tabel_VAS2023[Adviesofprocedure],"prc",Tabel_VAS2023[code_punten_forfait],10)</f>
        <v>0</v>
      </c>
      <c r="G124" s="91">
        <f>SUMIFS(Tabel_VAS2023[aantal_VAS],Tabel_VAS2023[Zaakcode],Tabel_prc_2023[[#This Row],[Zaakcode]],Tabel_VAS2023[Adviesofprocedure],"prc",Tabel_VAS2023[code_punten_forfait],11)</f>
        <v>3</v>
      </c>
      <c r="H124" s="92">
        <f>SUMIFS(Tabel_VAS2023[aantal_VAS],Tabel_VAS2023[Zaakcode],Tabel_prc_2023[[#This Row],[Zaakcode]],Tabel_VAS2023[Adviesofprocedure],"prc",Tabel_VAS2023[code_punten_forfait],13)</f>
        <v>0</v>
      </c>
      <c r="I124" s="92">
        <f>SUMIFS(Tabel_VAS2023[aantal_VAS],Tabel_VAS2023[Zaakcode],Tabel_prc_2023[[#This Row],[Zaakcode]],Tabel_VAS2023[Adviesofprocedure],"prc",Tabel_VAS2023[code_punten_forfait],14)</f>
        <v>0</v>
      </c>
      <c r="J124" s="91">
        <f>SUMIFS(Tabel_VAS2023[aantal_VAS],Tabel_VAS2023[Zaakcode],Tabel_prc_2023[[#This Row],[Zaakcode]],Tabel_VAS2023[Adviesofprocedure],"prc",Tabel_VAS2023[code_punten_forfait],12)</f>
        <v>2</v>
      </c>
      <c r="K124" s="92">
        <f>SUMIFS(Tabel_VAS2023[aantal_VAS],Tabel_VAS2023[Zaakcode],Tabel_prc_2023[[#This Row],[Zaakcode]],Tabel_VAS2023[Adviesofprocedure],"prc",Tabel_VAS2023[code_punten_forfait],15)</f>
        <v>0</v>
      </c>
      <c r="L124" s="92">
        <f>SUMIFS(Tabel_VAS2023[aantal_VAS],Tabel_VAS2023[Zaakcode],Tabel_prc_2023[[#This Row],[Zaakcode]],Tabel_VAS2023[Adviesofprocedure],"prc",Tabel_VAS2023[code_punten_forfait],16)</f>
        <v>0</v>
      </c>
      <c r="M124" s="35">
        <f>IFERROR(INDEX(Tabel_forfaits[forfait vanaf 2022],MATCH(Tabel_prc_2023[[#This Row],[Zaakcode]],Tabel_forfaits[Zaakcode],0)), "n.v.t.")</f>
        <v>7</v>
      </c>
      <c r="N124" s="35">
        <f>IFERROR(INDEX(Tabel_forfaits[forfait VdM II voor berekening],MATCH(Tabel_prc_2023[[#This Row],[Zaakcode]],Tabel_forfaits[Zaakcode],0)), "n.v.t.")</f>
        <v>7</v>
      </c>
      <c r="O124" s="36"/>
      <c r="P12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4" s="35">
        <f>IF(Tabel_prc_2023[[#This Row],[procedure - forfait VdM II]]="n.v.t.",0,  Tabel_prc_2023[[#This Row],[procedure - aantal 0 punten]] * (Tabel_prc_2023[[#This Row],[procedure - forfait VdM II]] - Tabel_prc_2023[[#This Row],[procedure - forfait VdM I]]))</f>
        <v>0</v>
      </c>
      <c r="T12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v>
      </c>
      <c r="U12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4" s="109">
        <f>Tabel_prc_2023[[#This Row],[procedure - totaal extra punten toev. VdM II t.o.v. huidig]] * tarief_huidig</f>
        <v>0</v>
      </c>
    </row>
    <row r="125" spans="1:22" x14ac:dyDescent="0.3">
      <c r="A125"/>
      <c r="B125" s="1" t="s">
        <v>120</v>
      </c>
      <c r="C125" s="34" t="s">
        <v>5</v>
      </c>
      <c r="D12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21</v>
      </c>
      <c r="E12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70</v>
      </c>
      <c r="F125" s="91">
        <f>SUMIFS(Tabel_VAS2023[aantal_VAS],Tabel_VAS2023[Zaakcode],Tabel_prc_2023[[#This Row],[Zaakcode]],Tabel_VAS2023[Adviesofprocedure],"prc",Tabel_VAS2023[code_punten_forfait],10)</f>
        <v>0</v>
      </c>
      <c r="G125" s="91">
        <f>SUMIFS(Tabel_VAS2023[aantal_VAS],Tabel_VAS2023[Zaakcode],Tabel_prc_2023[[#This Row],[Zaakcode]],Tabel_VAS2023[Adviesofprocedure],"prc",Tabel_VAS2023[code_punten_forfait],11)</f>
        <v>9</v>
      </c>
      <c r="H125" s="92">
        <f>SUMIFS(Tabel_VAS2023[aantal_VAS],Tabel_VAS2023[Zaakcode],Tabel_prc_2023[[#This Row],[Zaakcode]],Tabel_VAS2023[Adviesofprocedure],"prc",Tabel_VAS2023[code_punten_forfait],13)</f>
        <v>0</v>
      </c>
      <c r="I125" s="92">
        <f>SUMIFS(Tabel_VAS2023[aantal_VAS],Tabel_VAS2023[Zaakcode],Tabel_prc_2023[[#This Row],[Zaakcode]],Tabel_VAS2023[Adviesofprocedure],"prc",Tabel_VAS2023[code_punten_forfait],14)</f>
        <v>0</v>
      </c>
      <c r="J125" s="91">
        <f>SUMIFS(Tabel_VAS2023[aantal_VAS],Tabel_VAS2023[Zaakcode],Tabel_prc_2023[[#This Row],[Zaakcode]],Tabel_VAS2023[Adviesofprocedure],"prc",Tabel_VAS2023[code_punten_forfait],12)</f>
        <v>11</v>
      </c>
      <c r="K125" s="92">
        <f>SUMIFS(Tabel_VAS2023[aantal_VAS],Tabel_VAS2023[Zaakcode],Tabel_prc_2023[[#This Row],[Zaakcode]],Tabel_VAS2023[Adviesofprocedure],"prc",Tabel_VAS2023[code_punten_forfait],15)</f>
        <v>0</v>
      </c>
      <c r="L125" s="92">
        <f>SUMIFS(Tabel_VAS2023[aantal_VAS],Tabel_VAS2023[Zaakcode],Tabel_prc_2023[[#This Row],[Zaakcode]],Tabel_VAS2023[Adviesofprocedure],"prc",Tabel_VAS2023[code_punten_forfait],16)</f>
        <v>1</v>
      </c>
      <c r="M125" s="35">
        <f>IFERROR(INDEX(Tabel_forfaits[forfait vanaf 2022],MATCH(Tabel_prc_2023[[#This Row],[Zaakcode]],Tabel_forfaits[Zaakcode],0)), "n.v.t.")</f>
        <v>4</v>
      </c>
      <c r="N125" s="35">
        <f>IFERROR(INDEX(Tabel_forfaits[forfait VdM II voor berekening],MATCH(Tabel_prc_2023[[#This Row],[Zaakcode]],Tabel_forfaits[Zaakcode],0)), "n.v.t.")</f>
        <v>4</v>
      </c>
      <c r="O125" s="36"/>
      <c r="P12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5" s="35">
        <f>IF(Tabel_prc_2023[[#This Row],[procedure - forfait VdM II]]="n.v.t.",0,  Tabel_prc_2023[[#This Row],[procedure - aantal 0 punten]] * (Tabel_prc_2023[[#This Row],[procedure - forfait VdM II]] - Tabel_prc_2023[[#This Row],[procedure - forfait VdM I]]))</f>
        <v>0</v>
      </c>
      <c r="T12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21</v>
      </c>
      <c r="U12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5" s="109">
        <f>Tabel_prc_2023[[#This Row],[procedure - totaal extra punten toev. VdM II t.o.v. huidig]] * tarief_huidig</f>
        <v>0</v>
      </c>
    </row>
    <row r="126" spans="1:22" x14ac:dyDescent="0.3">
      <c r="A126"/>
      <c r="B126" s="1" t="s">
        <v>121</v>
      </c>
      <c r="C126" s="34" t="s">
        <v>5</v>
      </c>
      <c r="D12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v>
      </c>
      <c r="E12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40</v>
      </c>
      <c r="F126" s="91">
        <f>SUMIFS(Tabel_VAS2023[aantal_VAS],Tabel_VAS2023[Zaakcode],Tabel_prc_2023[[#This Row],[Zaakcode]],Tabel_VAS2023[Adviesofprocedure],"prc",Tabel_VAS2023[code_punten_forfait],10)</f>
        <v>0</v>
      </c>
      <c r="G126" s="91">
        <f>SUMIFS(Tabel_VAS2023[aantal_VAS],Tabel_VAS2023[Zaakcode],Tabel_prc_2023[[#This Row],[Zaakcode]],Tabel_VAS2023[Adviesofprocedure],"prc",Tabel_VAS2023[code_punten_forfait],11)</f>
        <v>3</v>
      </c>
      <c r="H126" s="92">
        <f>SUMIFS(Tabel_VAS2023[aantal_VAS],Tabel_VAS2023[Zaakcode],Tabel_prc_2023[[#This Row],[Zaakcode]],Tabel_VAS2023[Adviesofprocedure],"prc",Tabel_VAS2023[code_punten_forfait],13)</f>
        <v>0</v>
      </c>
      <c r="I126" s="92">
        <f>SUMIFS(Tabel_VAS2023[aantal_VAS],Tabel_VAS2023[Zaakcode],Tabel_prc_2023[[#This Row],[Zaakcode]],Tabel_VAS2023[Adviesofprocedure],"prc",Tabel_VAS2023[code_punten_forfait],14)</f>
        <v>0</v>
      </c>
      <c r="J126" s="91">
        <f>SUMIFS(Tabel_VAS2023[aantal_VAS],Tabel_VAS2023[Zaakcode],Tabel_prc_2023[[#This Row],[Zaakcode]],Tabel_VAS2023[Adviesofprocedure],"prc",Tabel_VAS2023[code_punten_forfait],12)</f>
        <v>2</v>
      </c>
      <c r="K126" s="92">
        <f>SUMIFS(Tabel_VAS2023[aantal_VAS],Tabel_VAS2023[Zaakcode],Tabel_prc_2023[[#This Row],[Zaakcode]],Tabel_VAS2023[Adviesofprocedure],"prc",Tabel_VAS2023[code_punten_forfait],15)</f>
        <v>0</v>
      </c>
      <c r="L126" s="92">
        <f>SUMIFS(Tabel_VAS2023[aantal_VAS],Tabel_VAS2023[Zaakcode],Tabel_prc_2023[[#This Row],[Zaakcode]],Tabel_VAS2023[Adviesofprocedure],"prc",Tabel_VAS2023[code_punten_forfait],16)</f>
        <v>0</v>
      </c>
      <c r="M126" s="35">
        <f>IFERROR(INDEX(Tabel_forfaits[forfait vanaf 2022],MATCH(Tabel_prc_2023[[#This Row],[Zaakcode]],Tabel_forfaits[Zaakcode],0)), "n.v.t.")</f>
        <v>8</v>
      </c>
      <c r="N126" s="35">
        <f>IFERROR(INDEX(Tabel_forfaits[forfait VdM II voor berekening],MATCH(Tabel_prc_2023[[#This Row],[Zaakcode]],Tabel_forfaits[Zaakcode],0)), "n.v.t.")</f>
        <v>8</v>
      </c>
      <c r="O126" s="36"/>
      <c r="P12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6" s="35">
        <f>IF(Tabel_prc_2023[[#This Row],[procedure - forfait VdM II]]="n.v.t.",0,  Tabel_prc_2023[[#This Row],[procedure - aantal 0 punten]] * (Tabel_prc_2023[[#This Row],[procedure - forfait VdM II]] - Tabel_prc_2023[[#This Row],[procedure - forfait VdM I]]))</f>
        <v>0</v>
      </c>
      <c r="T12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v>
      </c>
      <c r="U12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6" s="109">
        <f>Tabel_prc_2023[[#This Row],[procedure - totaal extra punten toev. VdM II t.o.v. huidig]] * tarief_huidig</f>
        <v>0</v>
      </c>
    </row>
    <row r="127" spans="1:22" x14ac:dyDescent="0.3">
      <c r="A127"/>
      <c r="B127" s="1" t="s">
        <v>122</v>
      </c>
      <c r="C127" s="34" t="s">
        <v>5</v>
      </c>
      <c r="D12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8</v>
      </c>
      <c r="E12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31</v>
      </c>
      <c r="F127" s="91">
        <f>SUMIFS(Tabel_VAS2023[aantal_VAS],Tabel_VAS2023[Zaakcode],Tabel_prc_2023[[#This Row],[Zaakcode]],Tabel_VAS2023[Adviesofprocedure],"prc",Tabel_VAS2023[code_punten_forfait],10)</f>
        <v>0</v>
      </c>
      <c r="G127" s="91">
        <f>SUMIFS(Tabel_VAS2023[aantal_VAS],Tabel_VAS2023[Zaakcode],Tabel_prc_2023[[#This Row],[Zaakcode]],Tabel_VAS2023[Adviesofprocedure],"prc",Tabel_VAS2023[code_punten_forfait],11)</f>
        <v>3</v>
      </c>
      <c r="H127" s="92">
        <f>SUMIFS(Tabel_VAS2023[aantal_VAS],Tabel_VAS2023[Zaakcode],Tabel_prc_2023[[#This Row],[Zaakcode]],Tabel_VAS2023[Adviesofprocedure],"prc",Tabel_VAS2023[code_punten_forfait],13)</f>
        <v>0</v>
      </c>
      <c r="I127" s="92">
        <f>SUMIFS(Tabel_VAS2023[aantal_VAS],Tabel_VAS2023[Zaakcode],Tabel_prc_2023[[#This Row],[Zaakcode]],Tabel_VAS2023[Adviesofprocedure],"prc",Tabel_VAS2023[code_punten_forfait],14)</f>
        <v>0</v>
      </c>
      <c r="J127" s="91">
        <f>SUMIFS(Tabel_VAS2023[aantal_VAS],Tabel_VAS2023[Zaakcode],Tabel_prc_2023[[#This Row],[Zaakcode]],Tabel_VAS2023[Adviesofprocedure],"prc",Tabel_VAS2023[code_punten_forfait],12)</f>
        <v>5</v>
      </c>
      <c r="K127" s="92">
        <f>SUMIFS(Tabel_VAS2023[aantal_VAS],Tabel_VAS2023[Zaakcode],Tabel_prc_2023[[#This Row],[Zaakcode]],Tabel_VAS2023[Adviesofprocedure],"prc",Tabel_VAS2023[code_punten_forfait],15)</f>
        <v>0</v>
      </c>
      <c r="L127" s="92">
        <f>SUMIFS(Tabel_VAS2023[aantal_VAS],Tabel_VAS2023[Zaakcode],Tabel_prc_2023[[#This Row],[Zaakcode]],Tabel_VAS2023[Adviesofprocedure],"prc",Tabel_VAS2023[code_punten_forfait],16)</f>
        <v>0</v>
      </c>
      <c r="M127" s="35">
        <f>IFERROR(INDEX(Tabel_forfaits[forfait vanaf 2022],MATCH(Tabel_prc_2023[[#This Row],[Zaakcode]],Tabel_forfaits[Zaakcode],0)), "n.v.t.")</f>
        <v>5</v>
      </c>
      <c r="N127" s="35">
        <f>IFERROR(INDEX(Tabel_forfaits[forfait VdM II voor berekening],MATCH(Tabel_prc_2023[[#This Row],[Zaakcode]],Tabel_forfaits[Zaakcode],0)), "n.v.t.")</f>
        <v>5</v>
      </c>
      <c r="O127" s="36"/>
      <c r="P12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7" s="35">
        <f>IF(Tabel_prc_2023[[#This Row],[procedure - forfait VdM II]]="n.v.t.",0,  Tabel_prc_2023[[#This Row],[procedure - aantal 0 punten]] * (Tabel_prc_2023[[#This Row],[procedure - forfait VdM II]] - Tabel_prc_2023[[#This Row],[procedure - forfait VdM I]]))</f>
        <v>0</v>
      </c>
      <c r="T12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v>
      </c>
      <c r="U12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7" s="109">
        <f>Tabel_prc_2023[[#This Row],[procedure - totaal extra punten toev. VdM II t.o.v. huidig]] * tarief_huidig</f>
        <v>0</v>
      </c>
    </row>
    <row r="128" spans="1:22" x14ac:dyDescent="0.3">
      <c r="A128"/>
      <c r="B128" s="1" t="s">
        <v>123</v>
      </c>
      <c r="C128" s="34" t="s">
        <v>5</v>
      </c>
      <c r="D12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v>
      </c>
      <c r="E12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v>
      </c>
      <c r="F128" s="91">
        <f>SUMIFS(Tabel_VAS2023[aantal_VAS],Tabel_VAS2023[Zaakcode],Tabel_prc_2023[[#This Row],[Zaakcode]],Tabel_VAS2023[Adviesofprocedure],"prc",Tabel_VAS2023[code_punten_forfait],10)</f>
        <v>0</v>
      </c>
      <c r="G128" s="91">
        <f>SUMIFS(Tabel_VAS2023[aantal_VAS],Tabel_VAS2023[Zaakcode],Tabel_prc_2023[[#This Row],[Zaakcode]],Tabel_VAS2023[Adviesofprocedure],"prc",Tabel_VAS2023[code_punten_forfait],11)</f>
        <v>2</v>
      </c>
      <c r="H128" s="92">
        <f>SUMIFS(Tabel_VAS2023[aantal_VAS],Tabel_VAS2023[Zaakcode],Tabel_prc_2023[[#This Row],[Zaakcode]],Tabel_VAS2023[Adviesofprocedure],"prc",Tabel_VAS2023[code_punten_forfait],13)</f>
        <v>0</v>
      </c>
      <c r="I128" s="92">
        <f>SUMIFS(Tabel_VAS2023[aantal_VAS],Tabel_VAS2023[Zaakcode],Tabel_prc_2023[[#This Row],[Zaakcode]],Tabel_VAS2023[Adviesofprocedure],"prc",Tabel_VAS2023[code_punten_forfait],14)</f>
        <v>0</v>
      </c>
      <c r="J128" s="91">
        <f>SUMIFS(Tabel_VAS2023[aantal_VAS],Tabel_VAS2023[Zaakcode],Tabel_prc_2023[[#This Row],[Zaakcode]],Tabel_VAS2023[Adviesofprocedure],"prc",Tabel_VAS2023[code_punten_forfait],12)</f>
        <v>1</v>
      </c>
      <c r="K128" s="92">
        <f>SUMIFS(Tabel_VAS2023[aantal_VAS],Tabel_VAS2023[Zaakcode],Tabel_prc_2023[[#This Row],[Zaakcode]],Tabel_VAS2023[Adviesofprocedure],"prc",Tabel_VAS2023[code_punten_forfait],15)</f>
        <v>0</v>
      </c>
      <c r="L128" s="92">
        <f>SUMIFS(Tabel_VAS2023[aantal_VAS],Tabel_VAS2023[Zaakcode],Tabel_prc_2023[[#This Row],[Zaakcode]],Tabel_VAS2023[Adviesofprocedure],"prc",Tabel_VAS2023[code_punten_forfait],16)</f>
        <v>0</v>
      </c>
      <c r="M128" s="35">
        <f>IFERROR(INDEX(Tabel_forfaits[forfait vanaf 2022],MATCH(Tabel_prc_2023[[#This Row],[Zaakcode]],Tabel_forfaits[Zaakcode],0)), "n.v.t.")</f>
        <v>2</v>
      </c>
      <c r="N128" s="35">
        <f>IFERROR(INDEX(Tabel_forfaits[forfait VdM II voor berekening],MATCH(Tabel_prc_2023[[#This Row],[Zaakcode]],Tabel_forfaits[Zaakcode],0)), "n.v.t.")</f>
        <v>2</v>
      </c>
      <c r="O128" s="36"/>
      <c r="P12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2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2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8" s="35">
        <f>IF(Tabel_prc_2023[[#This Row],[procedure - forfait VdM II]]="n.v.t.",0,  Tabel_prc_2023[[#This Row],[procedure - aantal 0 punten]] * (Tabel_prc_2023[[#This Row],[procedure - forfait VdM II]] - Tabel_prc_2023[[#This Row],[procedure - forfait VdM I]]))</f>
        <v>0</v>
      </c>
      <c r="T12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v>
      </c>
      <c r="U12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28" s="109">
        <f>Tabel_prc_2023[[#This Row],[procedure - totaal extra punten toev. VdM II t.o.v. huidig]] * tarief_huidig</f>
        <v>0</v>
      </c>
    </row>
    <row r="129" spans="1:22" x14ac:dyDescent="0.3">
      <c r="A129"/>
      <c r="B129" s="1" t="s">
        <v>124</v>
      </c>
      <c r="C129" s="34" t="s">
        <v>5</v>
      </c>
      <c r="D12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763</v>
      </c>
      <c r="E12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8690.7999999999993</v>
      </c>
      <c r="F129" s="91">
        <f>SUMIFS(Tabel_VAS2023[aantal_VAS],Tabel_VAS2023[Zaakcode],Tabel_prc_2023[[#This Row],[Zaakcode]],Tabel_VAS2023[Adviesofprocedure],"prc",Tabel_VAS2023[code_punten_forfait],10)</f>
        <v>0</v>
      </c>
      <c r="G129" s="91">
        <f>SUMIFS(Tabel_VAS2023[aantal_VAS],Tabel_VAS2023[Zaakcode],Tabel_prc_2023[[#This Row],[Zaakcode]],Tabel_VAS2023[Adviesofprocedure],"prc",Tabel_VAS2023[code_punten_forfait],11)</f>
        <v>99</v>
      </c>
      <c r="H129" s="92">
        <f>SUMIFS(Tabel_VAS2023[aantal_VAS],Tabel_VAS2023[Zaakcode],Tabel_prc_2023[[#This Row],[Zaakcode]],Tabel_VAS2023[Adviesofprocedure],"prc",Tabel_VAS2023[code_punten_forfait],13)</f>
        <v>1</v>
      </c>
      <c r="I129" s="92">
        <f>SUMIFS(Tabel_VAS2023[aantal_VAS],Tabel_VAS2023[Zaakcode],Tabel_prc_2023[[#This Row],[Zaakcode]],Tabel_VAS2023[Adviesofprocedure],"prc",Tabel_VAS2023[code_punten_forfait],14)</f>
        <v>0</v>
      </c>
      <c r="J129" s="91">
        <f>SUMIFS(Tabel_VAS2023[aantal_VAS],Tabel_VAS2023[Zaakcode],Tabel_prc_2023[[#This Row],[Zaakcode]],Tabel_VAS2023[Adviesofprocedure],"prc",Tabel_VAS2023[code_punten_forfait],12)</f>
        <v>654</v>
      </c>
      <c r="K129" s="92">
        <f>SUMIFS(Tabel_VAS2023[aantal_VAS],Tabel_VAS2023[Zaakcode],Tabel_prc_2023[[#This Row],[Zaakcode]],Tabel_VAS2023[Adviesofprocedure],"prc",Tabel_VAS2023[code_punten_forfait],15)</f>
        <v>9</v>
      </c>
      <c r="L129" s="92">
        <f>SUMIFS(Tabel_VAS2023[aantal_VAS],Tabel_VAS2023[Zaakcode],Tabel_prc_2023[[#This Row],[Zaakcode]],Tabel_VAS2023[Adviesofprocedure],"prc",Tabel_VAS2023[code_punten_forfait],16)</f>
        <v>0</v>
      </c>
      <c r="M129" s="35">
        <f>IFERROR(INDEX(Tabel_forfaits[forfait vanaf 2022],MATCH(Tabel_prc_2023[[#This Row],[Zaakcode]],Tabel_forfaits[Zaakcode],0)), "n.v.t.")</f>
        <v>12</v>
      </c>
      <c r="N129" s="35">
        <f>IFERROR(INDEX(Tabel_forfaits[forfait VdM II voor berekening],MATCH(Tabel_prc_2023[[#This Row],[Zaakcode]],Tabel_forfaits[Zaakcode],0)), "n.v.t.")</f>
        <v>14</v>
      </c>
      <c r="O129" s="36"/>
      <c r="P12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1506</v>
      </c>
      <c r="Q12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20</v>
      </c>
      <c r="R12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29" s="35">
        <f>IF(Tabel_prc_2023[[#This Row],[procedure - forfait VdM II]]="n.v.t.",0,  Tabel_prc_2023[[#This Row],[procedure - aantal 0 punten]] * (Tabel_prc_2023[[#This Row],[procedure - forfait VdM II]] - Tabel_prc_2023[[#This Row],[procedure - forfait VdM I]]))</f>
        <v>0</v>
      </c>
      <c r="T12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763</v>
      </c>
      <c r="U12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1526</v>
      </c>
      <c r="V129" s="109">
        <f>Tabel_prc_2023[[#This Row],[procedure - totaal extra punten toev. VdM II t.o.v. huidig]] * tarief_huidig</f>
        <v>233669.51299999998</v>
      </c>
    </row>
    <row r="130" spans="1:22" x14ac:dyDescent="0.3">
      <c r="A130"/>
      <c r="B130" s="1" t="s">
        <v>125</v>
      </c>
      <c r="C130" s="34" t="s">
        <v>5</v>
      </c>
      <c r="D13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4745</v>
      </c>
      <c r="E13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40997</v>
      </c>
      <c r="F130" s="91">
        <f>SUMIFS(Tabel_VAS2023[aantal_VAS],Tabel_VAS2023[Zaakcode],Tabel_prc_2023[[#This Row],[Zaakcode]],Tabel_VAS2023[Adviesofprocedure],"prc",Tabel_VAS2023[code_punten_forfait],10)</f>
        <v>0</v>
      </c>
      <c r="G130" s="91">
        <f>SUMIFS(Tabel_VAS2023[aantal_VAS],Tabel_VAS2023[Zaakcode],Tabel_prc_2023[[#This Row],[Zaakcode]],Tabel_VAS2023[Adviesofprocedure],"prc",Tabel_VAS2023[code_punten_forfait],11)</f>
        <v>12</v>
      </c>
      <c r="H130" s="92">
        <f>SUMIFS(Tabel_VAS2023[aantal_VAS],Tabel_VAS2023[Zaakcode],Tabel_prc_2023[[#This Row],[Zaakcode]],Tabel_VAS2023[Adviesofprocedure],"prc",Tabel_VAS2023[code_punten_forfait],13)</f>
        <v>134</v>
      </c>
      <c r="I130" s="92">
        <f>SUMIFS(Tabel_VAS2023[aantal_VAS],Tabel_VAS2023[Zaakcode],Tabel_prc_2023[[#This Row],[Zaakcode]],Tabel_VAS2023[Adviesofprocedure],"prc",Tabel_VAS2023[code_punten_forfait],14)</f>
        <v>444</v>
      </c>
      <c r="J130" s="91">
        <f>SUMIFS(Tabel_VAS2023[aantal_VAS],Tabel_VAS2023[Zaakcode],Tabel_prc_2023[[#This Row],[Zaakcode]],Tabel_VAS2023[Adviesofprocedure],"prc",Tabel_VAS2023[code_punten_forfait],12)</f>
        <v>505</v>
      </c>
      <c r="K130" s="92">
        <f>SUMIFS(Tabel_VAS2023[aantal_VAS],Tabel_VAS2023[Zaakcode],Tabel_prc_2023[[#This Row],[Zaakcode]],Tabel_VAS2023[Adviesofprocedure],"prc",Tabel_VAS2023[code_punten_forfait],15)</f>
        <v>1440</v>
      </c>
      <c r="L130" s="92">
        <f>SUMIFS(Tabel_VAS2023[aantal_VAS],Tabel_VAS2023[Zaakcode],Tabel_prc_2023[[#This Row],[Zaakcode]],Tabel_VAS2023[Adviesofprocedure],"prc",Tabel_VAS2023[code_punten_forfait],16)</f>
        <v>2210</v>
      </c>
      <c r="M130" s="35">
        <f>IFERROR(INDEX(Tabel_forfaits[forfait vanaf 2022],MATCH(Tabel_prc_2023[[#This Row],[Zaakcode]],Tabel_forfaits[Zaakcode],0)), "n.v.t.")</f>
        <v>9</v>
      </c>
      <c r="N130" s="35">
        <f>IFERROR(INDEX(Tabel_forfaits[forfait VdM II voor berekening],MATCH(Tabel_prc_2023[[#This Row],[Zaakcode]],Tabel_forfaits[Zaakcode],0)), "n.v.t.")</f>
        <v>11</v>
      </c>
      <c r="O130" s="36"/>
      <c r="P13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1034</v>
      </c>
      <c r="Q13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3148</v>
      </c>
      <c r="R13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7962</v>
      </c>
      <c r="S130" s="35">
        <f>IF(Tabel_prc_2023[[#This Row],[procedure - forfait VdM II]]="n.v.t.",0,  Tabel_prc_2023[[#This Row],[procedure - aantal 0 punten]] * (Tabel_prc_2023[[#This Row],[procedure - forfait VdM II]] - Tabel_prc_2023[[#This Row],[procedure - forfait VdM I]]))</f>
        <v>0</v>
      </c>
      <c r="T13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4745</v>
      </c>
      <c r="U13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12144</v>
      </c>
      <c r="V130" s="109">
        <f>Tabel_prc_2023[[#This Row],[procedure - totaal extra punten toev. VdM II t.o.v. huidig]] * tarief_huidig</f>
        <v>1859556.0719999999</v>
      </c>
    </row>
    <row r="131" spans="1:22" x14ac:dyDescent="0.3">
      <c r="A131"/>
      <c r="B131" s="1" t="s">
        <v>126</v>
      </c>
      <c r="C131" s="34" t="s">
        <v>5</v>
      </c>
      <c r="D13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52</v>
      </c>
      <c r="E13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449</v>
      </c>
      <c r="F131" s="91">
        <f>SUMIFS(Tabel_VAS2023[aantal_VAS],Tabel_VAS2023[Zaakcode],Tabel_prc_2023[[#This Row],[Zaakcode]],Tabel_VAS2023[Adviesofprocedure],"prc",Tabel_VAS2023[code_punten_forfait],10)</f>
        <v>0</v>
      </c>
      <c r="G131" s="91">
        <f>SUMIFS(Tabel_VAS2023[aantal_VAS],Tabel_VAS2023[Zaakcode],Tabel_prc_2023[[#This Row],[Zaakcode]],Tabel_VAS2023[Adviesofprocedure],"prc",Tabel_VAS2023[code_punten_forfait],11)</f>
        <v>8</v>
      </c>
      <c r="H131" s="92">
        <f>SUMIFS(Tabel_VAS2023[aantal_VAS],Tabel_VAS2023[Zaakcode],Tabel_prc_2023[[#This Row],[Zaakcode]],Tabel_VAS2023[Adviesofprocedure],"prc",Tabel_VAS2023[code_punten_forfait],13)</f>
        <v>1</v>
      </c>
      <c r="I131" s="92">
        <f>SUMIFS(Tabel_VAS2023[aantal_VAS],Tabel_VAS2023[Zaakcode],Tabel_prc_2023[[#This Row],[Zaakcode]],Tabel_VAS2023[Adviesofprocedure],"prc",Tabel_VAS2023[code_punten_forfait],14)</f>
        <v>1</v>
      </c>
      <c r="J131" s="91">
        <f>SUMIFS(Tabel_VAS2023[aantal_VAS],Tabel_VAS2023[Zaakcode],Tabel_prc_2023[[#This Row],[Zaakcode]],Tabel_VAS2023[Adviesofprocedure],"prc",Tabel_VAS2023[code_punten_forfait],12)</f>
        <v>23</v>
      </c>
      <c r="K131" s="92">
        <f>SUMIFS(Tabel_VAS2023[aantal_VAS],Tabel_VAS2023[Zaakcode],Tabel_prc_2023[[#This Row],[Zaakcode]],Tabel_VAS2023[Adviesofprocedure],"prc",Tabel_VAS2023[code_punten_forfait],15)</f>
        <v>15</v>
      </c>
      <c r="L131" s="92">
        <f>SUMIFS(Tabel_VAS2023[aantal_VAS],Tabel_VAS2023[Zaakcode],Tabel_prc_2023[[#This Row],[Zaakcode]],Tabel_VAS2023[Adviesofprocedure],"prc",Tabel_VAS2023[code_punten_forfait],16)</f>
        <v>4</v>
      </c>
      <c r="M131" s="35">
        <f>IFERROR(INDEX(Tabel_forfaits[forfait vanaf 2022],MATCH(Tabel_prc_2023[[#This Row],[Zaakcode]],Tabel_forfaits[Zaakcode],0)), "n.v.t.")</f>
        <v>10</v>
      </c>
      <c r="N131" s="35">
        <f>IFERROR(INDEX(Tabel_forfaits[forfait VdM II voor berekening],MATCH(Tabel_prc_2023[[#This Row],[Zaakcode]],Tabel_forfaits[Zaakcode],0)), "n.v.t.")</f>
        <v>10</v>
      </c>
      <c r="O131" s="36"/>
      <c r="P13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1" s="35">
        <f>IF(Tabel_prc_2023[[#This Row],[procedure - forfait VdM II]]="n.v.t.",0,  Tabel_prc_2023[[#This Row],[procedure - aantal 0 punten]] * (Tabel_prc_2023[[#This Row],[procedure - forfait VdM II]] - Tabel_prc_2023[[#This Row],[procedure - forfait VdM I]]))</f>
        <v>0</v>
      </c>
      <c r="T13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52</v>
      </c>
      <c r="U13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1" s="109">
        <f>Tabel_prc_2023[[#This Row],[procedure - totaal extra punten toev. VdM II t.o.v. huidig]] * tarief_huidig</f>
        <v>0</v>
      </c>
    </row>
    <row r="132" spans="1:22" x14ac:dyDescent="0.3">
      <c r="A132"/>
      <c r="B132" s="1" t="s">
        <v>127</v>
      </c>
      <c r="C132" s="34" t="s">
        <v>5</v>
      </c>
      <c r="D13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1113</v>
      </c>
      <c r="E13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9471.7000000000007</v>
      </c>
      <c r="F132" s="91">
        <f>SUMIFS(Tabel_VAS2023[aantal_VAS],Tabel_VAS2023[Zaakcode],Tabel_prc_2023[[#This Row],[Zaakcode]],Tabel_VAS2023[Adviesofprocedure],"prc",Tabel_VAS2023[code_punten_forfait],10)</f>
        <v>0</v>
      </c>
      <c r="G132" s="91">
        <f>SUMIFS(Tabel_VAS2023[aantal_VAS],Tabel_VAS2023[Zaakcode],Tabel_prc_2023[[#This Row],[Zaakcode]],Tabel_VAS2023[Adviesofprocedure],"prc",Tabel_VAS2023[code_punten_forfait],11)</f>
        <v>134</v>
      </c>
      <c r="H132" s="92">
        <f>SUMIFS(Tabel_VAS2023[aantal_VAS],Tabel_VAS2023[Zaakcode],Tabel_prc_2023[[#This Row],[Zaakcode]],Tabel_VAS2023[Adviesofprocedure],"prc",Tabel_VAS2023[code_punten_forfait],13)</f>
        <v>10</v>
      </c>
      <c r="I132" s="92">
        <f>SUMIFS(Tabel_VAS2023[aantal_VAS],Tabel_VAS2023[Zaakcode],Tabel_prc_2023[[#This Row],[Zaakcode]],Tabel_VAS2023[Adviesofprocedure],"prc",Tabel_VAS2023[code_punten_forfait],14)</f>
        <v>1</v>
      </c>
      <c r="J132" s="91">
        <f>SUMIFS(Tabel_VAS2023[aantal_VAS],Tabel_VAS2023[Zaakcode],Tabel_prc_2023[[#This Row],[Zaakcode]],Tabel_VAS2023[Adviesofprocedure],"prc",Tabel_VAS2023[code_punten_forfait],12)</f>
        <v>914</v>
      </c>
      <c r="K132" s="92">
        <f>SUMIFS(Tabel_VAS2023[aantal_VAS],Tabel_VAS2023[Zaakcode],Tabel_prc_2023[[#This Row],[Zaakcode]],Tabel_VAS2023[Adviesofprocedure],"prc",Tabel_VAS2023[code_punten_forfait],15)</f>
        <v>45</v>
      </c>
      <c r="L132" s="92">
        <f>SUMIFS(Tabel_VAS2023[aantal_VAS],Tabel_VAS2023[Zaakcode],Tabel_prc_2023[[#This Row],[Zaakcode]],Tabel_VAS2023[Adviesofprocedure],"prc",Tabel_VAS2023[code_punten_forfait],16)</f>
        <v>9</v>
      </c>
      <c r="M132" s="35">
        <f>IFERROR(INDEX(Tabel_forfaits[forfait vanaf 2022],MATCH(Tabel_prc_2023[[#This Row],[Zaakcode]],Tabel_forfaits[Zaakcode],0)), "n.v.t.")</f>
        <v>9</v>
      </c>
      <c r="N132" s="35">
        <f>IFERROR(INDEX(Tabel_forfaits[forfait VdM II voor berekening],MATCH(Tabel_prc_2023[[#This Row],[Zaakcode]],Tabel_forfaits[Zaakcode],0)), "n.v.t.")</f>
        <v>9</v>
      </c>
      <c r="O132" s="36"/>
      <c r="P13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2" s="35">
        <f>IF(Tabel_prc_2023[[#This Row],[procedure - forfait VdM II]]="n.v.t.",0,  Tabel_prc_2023[[#This Row],[procedure - aantal 0 punten]] * (Tabel_prc_2023[[#This Row],[procedure - forfait VdM II]] - Tabel_prc_2023[[#This Row],[procedure - forfait VdM I]]))</f>
        <v>0</v>
      </c>
      <c r="T13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1113</v>
      </c>
      <c r="U13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2" s="109">
        <f>Tabel_prc_2023[[#This Row],[procedure - totaal extra punten toev. VdM II t.o.v. huidig]] * tarief_huidig</f>
        <v>0</v>
      </c>
    </row>
    <row r="133" spans="1:22" x14ac:dyDescent="0.3">
      <c r="A133"/>
      <c r="B133" s="1" t="s">
        <v>128</v>
      </c>
      <c r="C133" s="34" t="s">
        <v>5</v>
      </c>
      <c r="D13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1522</v>
      </c>
      <c r="E13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6532.4</v>
      </c>
      <c r="F133" s="91">
        <f>SUMIFS(Tabel_VAS2023[aantal_VAS],Tabel_VAS2023[Zaakcode],Tabel_prc_2023[[#This Row],[Zaakcode]],Tabel_VAS2023[Adviesofprocedure],"prc",Tabel_VAS2023[code_punten_forfait],10)</f>
        <v>0</v>
      </c>
      <c r="G133" s="91">
        <f>SUMIFS(Tabel_VAS2023[aantal_VAS],Tabel_VAS2023[Zaakcode],Tabel_prc_2023[[#This Row],[Zaakcode]],Tabel_VAS2023[Adviesofprocedure],"prc",Tabel_VAS2023[code_punten_forfait],11)</f>
        <v>705</v>
      </c>
      <c r="H133" s="92">
        <f>SUMIFS(Tabel_VAS2023[aantal_VAS],Tabel_VAS2023[Zaakcode],Tabel_prc_2023[[#This Row],[Zaakcode]],Tabel_VAS2023[Adviesofprocedure],"prc",Tabel_VAS2023[code_punten_forfait],13)</f>
        <v>0</v>
      </c>
      <c r="I133" s="92">
        <f>SUMIFS(Tabel_VAS2023[aantal_VAS],Tabel_VAS2023[Zaakcode],Tabel_prc_2023[[#This Row],[Zaakcode]],Tabel_VAS2023[Adviesofprocedure],"prc",Tabel_VAS2023[code_punten_forfait],14)</f>
        <v>5</v>
      </c>
      <c r="J133" s="91">
        <f>SUMIFS(Tabel_VAS2023[aantal_VAS],Tabel_VAS2023[Zaakcode],Tabel_prc_2023[[#This Row],[Zaakcode]],Tabel_VAS2023[Adviesofprocedure],"prc",Tabel_VAS2023[code_punten_forfait],12)</f>
        <v>638</v>
      </c>
      <c r="K133" s="92">
        <f>SUMIFS(Tabel_VAS2023[aantal_VAS],Tabel_VAS2023[Zaakcode],Tabel_prc_2023[[#This Row],[Zaakcode]],Tabel_VAS2023[Adviesofprocedure],"prc",Tabel_VAS2023[code_punten_forfait],15)</f>
        <v>11</v>
      </c>
      <c r="L133" s="92">
        <f>SUMIFS(Tabel_VAS2023[aantal_VAS],Tabel_VAS2023[Zaakcode],Tabel_prc_2023[[#This Row],[Zaakcode]],Tabel_VAS2023[Adviesofprocedure],"prc",Tabel_VAS2023[code_punten_forfait],16)</f>
        <v>163</v>
      </c>
      <c r="M133" s="35">
        <f>IFERROR(INDEX(Tabel_forfaits[forfait vanaf 2022],MATCH(Tabel_prc_2023[[#This Row],[Zaakcode]],Tabel_forfaits[Zaakcode],0)), "n.v.t.")</f>
        <v>4</v>
      </c>
      <c r="N133" s="35" t="str">
        <f>IFERROR(INDEX(Tabel_forfaits[forfait VdM II voor berekening],MATCH(Tabel_prc_2023[[#This Row],[Zaakcode]],Tabel_forfaits[Zaakcode],0)), "n.v.t.")</f>
        <v>n.v.t.</v>
      </c>
      <c r="O133" s="36"/>
      <c r="P13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3" s="35">
        <f>IF(Tabel_prc_2023[[#This Row],[procedure - forfait VdM II]]="n.v.t.",0,  Tabel_prc_2023[[#This Row],[procedure - aantal 0 punten]] * (Tabel_prc_2023[[#This Row],[procedure - forfait VdM II]] - Tabel_prc_2023[[#This Row],[procedure - forfait VdM I]]))</f>
        <v>0</v>
      </c>
      <c r="T13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1522</v>
      </c>
      <c r="U13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3" s="109">
        <f>Tabel_prc_2023[[#This Row],[procedure - totaal extra punten toev. VdM II t.o.v. huidig]] * tarief_huidig</f>
        <v>0</v>
      </c>
    </row>
    <row r="134" spans="1:22" x14ac:dyDescent="0.3">
      <c r="A134"/>
      <c r="B134" s="1" t="s">
        <v>129</v>
      </c>
      <c r="C134" s="34" t="s">
        <v>5</v>
      </c>
      <c r="D13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16433</v>
      </c>
      <c r="E13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65768</v>
      </c>
      <c r="F134" s="91">
        <f>SUMIFS(Tabel_VAS2023[aantal_VAS],Tabel_VAS2023[Zaakcode],Tabel_prc_2023[[#This Row],[Zaakcode]],Tabel_VAS2023[Adviesofprocedure],"prc",Tabel_VAS2023[code_punten_forfait],10)</f>
        <v>0</v>
      </c>
      <c r="G134" s="91">
        <f>SUMIFS(Tabel_VAS2023[aantal_VAS],Tabel_VAS2023[Zaakcode],Tabel_prc_2023[[#This Row],[Zaakcode]],Tabel_VAS2023[Adviesofprocedure],"prc",Tabel_VAS2023[code_punten_forfait],11)</f>
        <v>715</v>
      </c>
      <c r="H134" s="92">
        <f>SUMIFS(Tabel_VAS2023[aantal_VAS],Tabel_VAS2023[Zaakcode],Tabel_prc_2023[[#This Row],[Zaakcode]],Tabel_VAS2023[Adviesofprocedure],"prc",Tabel_VAS2023[code_punten_forfait],13)</f>
        <v>0</v>
      </c>
      <c r="I134" s="92">
        <f>SUMIFS(Tabel_VAS2023[aantal_VAS],Tabel_VAS2023[Zaakcode],Tabel_prc_2023[[#This Row],[Zaakcode]],Tabel_VAS2023[Adviesofprocedure],"prc",Tabel_VAS2023[code_punten_forfait],14)</f>
        <v>0</v>
      </c>
      <c r="J134" s="91">
        <f>SUMIFS(Tabel_VAS2023[aantal_VAS],Tabel_VAS2023[Zaakcode],Tabel_prc_2023[[#This Row],[Zaakcode]],Tabel_VAS2023[Adviesofprocedure],"prc",Tabel_VAS2023[code_punten_forfait],12)</f>
        <v>15700</v>
      </c>
      <c r="K134" s="92">
        <f>SUMIFS(Tabel_VAS2023[aantal_VAS],Tabel_VAS2023[Zaakcode],Tabel_prc_2023[[#This Row],[Zaakcode]],Tabel_VAS2023[Adviesofprocedure],"prc",Tabel_VAS2023[code_punten_forfait],15)</f>
        <v>3</v>
      </c>
      <c r="L134" s="92">
        <f>SUMIFS(Tabel_VAS2023[aantal_VAS],Tabel_VAS2023[Zaakcode],Tabel_prc_2023[[#This Row],[Zaakcode]],Tabel_VAS2023[Adviesofprocedure],"prc",Tabel_VAS2023[code_punten_forfait],16)</f>
        <v>15</v>
      </c>
      <c r="M134" s="35">
        <f>IFERROR(INDEX(Tabel_forfaits[forfait vanaf 2022],MATCH(Tabel_prc_2023[[#This Row],[Zaakcode]],Tabel_forfaits[Zaakcode],0)), "n.v.t.")</f>
        <v>4</v>
      </c>
      <c r="N134" s="35">
        <f>IFERROR(INDEX(Tabel_forfaits[forfait VdM II voor berekening],MATCH(Tabel_prc_2023[[#This Row],[Zaakcode]],Tabel_forfaits[Zaakcode],0)), "n.v.t.")</f>
        <v>4</v>
      </c>
      <c r="O134" s="36"/>
      <c r="P13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4" s="35">
        <f>IF(Tabel_prc_2023[[#This Row],[procedure - forfait VdM II]]="n.v.t.",0,  Tabel_prc_2023[[#This Row],[procedure - aantal 0 punten]] * (Tabel_prc_2023[[#This Row],[procedure - forfait VdM II]] - Tabel_prc_2023[[#This Row],[procedure - forfait VdM I]]))</f>
        <v>0</v>
      </c>
      <c r="T13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16433</v>
      </c>
      <c r="U13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4" s="109">
        <f>Tabel_prc_2023[[#This Row],[procedure - totaal extra punten toev. VdM II t.o.v. huidig]] * tarief_huidig</f>
        <v>0</v>
      </c>
    </row>
    <row r="135" spans="1:22" x14ac:dyDescent="0.3">
      <c r="A135"/>
      <c r="B135" s="1" t="s">
        <v>130</v>
      </c>
      <c r="C135" s="34" t="s">
        <v>5</v>
      </c>
      <c r="D13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9697</v>
      </c>
      <c r="E13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48489.5</v>
      </c>
      <c r="F135" s="91">
        <f>SUMIFS(Tabel_VAS2023[aantal_VAS],Tabel_VAS2023[Zaakcode],Tabel_prc_2023[[#This Row],[Zaakcode]],Tabel_VAS2023[Adviesofprocedure],"prc",Tabel_VAS2023[code_punten_forfait],10)</f>
        <v>0</v>
      </c>
      <c r="G135" s="91">
        <f>SUMIFS(Tabel_VAS2023[aantal_VAS],Tabel_VAS2023[Zaakcode],Tabel_prc_2023[[#This Row],[Zaakcode]],Tabel_VAS2023[Adviesofprocedure],"prc",Tabel_VAS2023[code_punten_forfait],11)</f>
        <v>429</v>
      </c>
      <c r="H135" s="92">
        <f>SUMIFS(Tabel_VAS2023[aantal_VAS],Tabel_VAS2023[Zaakcode],Tabel_prc_2023[[#This Row],[Zaakcode]],Tabel_VAS2023[Adviesofprocedure],"prc",Tabel_VAS2023[code_punten_forfait],13)</f>
        <v>0</v>
      </c>
      <c r="I135" s="92">
        <f>SUMIFS(Tabel_VAS2023[aantal_VAS],Tabel_VAS2023[Zaakcode],Tabel_prc_2023[[#This Row],[Zaakcode]],Tabel_VAS2023[Adviesofprocedure],"prc",Tabel_VAS2023[code_punten_forfait],14)</f>
        <v>0</v>
      </c>
      <c r="J135" s="91">
        <f>SUMIFS(Tabel_VAS2023[aantal_VAS],Tabel_VAS2023[Zaakcode],Tabel_prc_2023[[#This Row],[Zaakcode]],Tabel_VAS2023[Adviesofprocedure],"prc",Tabel_VAS2023[code_punten_forfait],12)</f>
        <v>9265</v>
      </c>
      <c r="K135" s="92">
        <f>SUMIFS(Tabel_VAS2023[aantal_VAS],Tabel_VAS2023[Zaakcode],Tabel_prc_2023[[#This Row],[Zaakcode]],Tabel_VAS2023[Adviesofprocedure],"prc",Tabel_VAS2023[code_punten_forfait],15)</f>
        <v>1</v>
      </c>
      <c r="L135" s="92">
        <f>SUMIFS(Tabel_VAS2023[aantal_VAS],Tabel_VAS2023[Zaakcode],Tabel_prc_2023[[#This Row],[Zaakcode]],Tabel_VAS2023[Adviesofprocedure],"prc",Tabel_VAS2023[code_punten_forfait],16)</f>
        <v>2</v>
      </c>
      <c r="M135" s="35">
        <f>IFERROR(INDEX(Tabel_forfaits[forfait vanaf 2022],MATCH(Tabel_prc_2023[[#This Row],[Zaakcode]],Tabel_forfaits[Zaakcode],0)), "n.v.t.")</f>
        <v>5</v>
      </c>
      <c r="N135" s="35">
        <f>IFERROR(INDEX(Tabel_forfaits[forfait VdM II voor berekening],MATCH(Tabel_prc_2023[[#This Row],[Zaakcode]],Tabel_forfaits[Zaakcode],0)), "n.v.t.")</f>
        <v>5</v>
      </c>
      <c r="O135" s="36"/>
      <c r="P13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5" s="35">
        <f>IF(Tabel_prc_2023[[#This Row],[procedure - forfait VdM II]]="n.v.t.",0,  Tabel_prc_2023[[#This Row],[procedure - aantal 0 punten]] * (Tabel_prc_2023[[#This Row],[procedure - forfait VdM II]] - Tabel_prc_2023[[#This Row],[procedure - forfait VdM I]]))</f>
        <v>0</v>
      </c>
      <c r="T13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9697</v>
      </c>
      <c r="U13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5" s="109">
        <f>Tabel_prc_2023[[#This Row],[procedure - totaal extra punten toev. VdM II t.o.v. huidig]] * tarief_huidig</f>
        <v>0</v>
      </c>
    </row>
    <row r="136" spans="1:22" x14ac:dyDescent="0.3">
      <c r="A136"/>
      <c r="B136" s="1" t="s">
        <v>131</v>
      </c>
      <c r="C136" s="34" t="s">
        <v>5</v>
      </c>
      <c r="D13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2911</v>
      </c>
      <c r="E13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17099.5</v>
      </c>
      <c r="F136" s="91">
        <f>SUMIFS(Tabel_VAS2023[aantal_VAS],Tabel_VAS2023[Zaakcode],Tabel_prc_2023[[#This Row],[Zaakcode]],Tabel_VAS2023[Adviesofprocedure],"prc",Tabel_VAS2023[code_punten_forfait],10)</f>
        <v>0</v>
      </c>
      <c r="G136" s="91">
        <f>SUMIFS(Tabel_VAS2023[aantal_VAS],Tabel_VAS2023[Zaakcode],Tabel_prc_2023[[#This Row],[Zaakcode]],Tabel_VAS2023[Adviesofprocedure],"prc",Tabel_VAS2023[code_punten_forfait],11)</f>
        <v>165</v>
      </c>
      <c r="H136" s="92">
        <f>SUMIFS(Tabel_VAS2023[aantal_VAS],Tabel_VAS2023[Zaakcode],Tabel_prc_2023[[#This Row],[Zaakcode]],Tabel_VAS2023[Adviesofprocedure],"prc",Tabel_VAS2023[code_punten_forfait],13)</f>
        <v>44</v>
      </c>
      <c r="I136" s="92">
        <f>SUMIFS(Tabel_VAS2023[aantal_VAS],Tabel_VAS2023[Zaakcode],Tabel_prc_2023[[#This Row],[Zaakcode]],Tabel_VAS2023[Adviesofprocedure],"prc",Tabel_VAS2023[code_punten_forfait],14)</f>
        <v>0</v>
      </c>
      <c r="J136" s="91">
        <f>SUMIFS(Tabel_VAS2023[aantal_VAS],Tabel_VAS2023[Zaakcode],Tabel_prc_2023[[#This Row],[Zaakcode]],Tabel_VAS2023[Adviesofprocedure],"prc",Tabel_VAS2023[code_punten_forfait],12)</f>
        <v>2371</v>
      </c>
      <c r="K136" s="92">
        <f>SUMIFS(Tabel_VAS2023[aantal_VAS],Tabel_VAS2023[Zaakcode],Tabel_prc_2023[[#This Row],[Zaakcode]],Tabel_VAS2023[Adviesofprocedure],"prc",Tabel_VAS2023[code_punten_forfait],15)</f>
        <v>328</v>
      </c>
      <c r="L136" s="92">
        <f>SUMIFS(Tabel_VAS2023[aantal_VAS],Tabel_VAS2023[Zaakcode],Tabel_prc_2023[[#This Row],[Zaakcode]],Tabel_VAS2023[Adviesofprocedure],"prc",Tabel_VAS2023[code_punten_forfait],16)</f>
        <v>3</v>
      </c>
      <c r="M136" s="35">
        <f>IFERROR(INDEX(Tabel_forfaits[forfait vanaf 2022],MATCH(Tabel_prc_2023[[#This Row],[Zaakcode]],Tabel_forfaits[Zaakcode],0)), "n.v.t.")</f>
        <v>6</v>
      </c>
      <c r="N136" s="35">
        <f>IFERROR(INDEX(Tabel_forfaits[forfait VdM II voor berekening],MATCH(Tabel_prc_2023[[#This Row],[Zaakcode]],Tabel_forfaits[Zaakcode],0)), "n.v.t.")</f>
        <v>5</v>
      </c>
      <c r="O136" s="36"/>
      <c r="P13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-2536</v>
      </c>
      <c r="Q13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-372</v>
      </c>
      <c r="R13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-4.5</v>
      </c>
      <c r="S136" s="35">
        <f>IF(Tabel_prc_2023[[#This Row],[procedure - forfait VdM II]]="n.v.t.",0,  Tabel_prc_2023[[#This Row],[procedure - aantal 0 punten]] * (Tabel_prc_2023[[#This Row],[procedure - forfait VdM II]] - Tabel_prc_2023[[#This Row],[procedure - forfait VdM I]]))</f>
        <v>0</v>
      </c>
      <c r="T13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2911</v>
      </c>
      <c r="U13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-2912.5</v>
      </c>
      <c r="V136" s="109">
        <f>Tabel_prc_2023[[#This Row],[procedure - totaal extra punten toev. VdM II t.o.v. huidig]] * tarief_huidig</f>
        <v>-445978.01874999999</v>
      </c>
    </row>
    <row r="137" spans="1:22" x14ac:dyDescent="0.3">
      <c r="A137"/>
      <c r="B137" s="1" t="s">
        <v>132</v>
      </c>
      <c r="C137" s="34" t="s">
        <v>5</v>
      </c>
      <c r="D13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1903</v>
      </c>
      <c r="E13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18421</v>
      </c>
      <c r="F137" s="91">
        <f>SUMIFS(Tabel_VAS2023[aantal_VAS],Tabel_VAS2023[Zaakcode],Tabel_prc_2023[[#This Row],[Zaakcode]],Tabel_VAS2023[Adviesofprocedure],"prc",Tabel_VAS2023[code_punten_forfait],10)</f>
        <v>0</v>
      </c>
      <c r="G137" s="91">
        <f>SUMIFS(Tabel_VAS2023[aantal_VAS],Tabel_VAS2023[Zaakcode],Tabel_prc_2023[[#This Row],[Zaakcode]],Tabel_VAS2023[Adviesofprocedure],"prc",Tabel_VAS2023[code_punten_forfait],11)</f>
        <v>76</v>
      </c>
      <c r="H137" s="92">
        <f>SUMIFS(Tabel_VAS2023[aantal_VAS],Tabel_VAS2023[Zaakcode],Tabel_prc_2023[[#This Row],[Zaakcode]],Tabel_VAS2023[Adviesofprocedure],"prc",Tabel_VAS2023[code_punten_forfait],13)</f>
        <v>2</v>
      </c>
      <c r="I137" s="92">
        <f>SUMIFS(Tabel_VAS2023[aantal_VAS],Tabel_VAS2023[Zaakcode],Tabel_prc_2023[[#This Row],[Zaakcode]],Tabel_VAS2023[Adviesofprocedure],"prc",Tabel_VAS2023[code_punten_forfait],14)</f>
        <v>0</v>
      </c>
      <c r="J137" s="91">
        <f>SUMIFS(Tabel_VAS2023[aantal_VAS],Tabel_VAS2023[Zaakcode],Tabel_prc_2023[[#This Row],[Zaakcode]],Tabel_VAS2023[Adviesofprocedure],"prc",Tabel_VAS2023[code_punten_forfait],12)</f>
        <v>1767</v>
      </c>
      <c r="K137" s="92">
        <f>SUMIFS(Tabel_VAS2023[aantal_VAS],Tabel_VAS2023[Zaakcode],Tabel_prc_2023[[#This Row],[Zaakcode]],Tabel_VAS2023[Adviesofprocedure],"prc",Tabel_VAS2023[code_punten_forfait],15)</f>
        <v>54</v>
      </c>
      <c r="L137" s="92">
        <f>SUMIFS(Tabel_VAS2023[aantal_VAS],Tabel_VAS2023[Zaakcode],Tabel_prc_2023[[#This Row],[Zaakcode]],Tabel_VAS2023[Adviesofprocedure],"prc",Tabel_VAS2023[code_punten_forfait],16)</f>
        <v>4</v>
      </c>
      <c r="M137" s="35">
        <f>IFERROR(INDEX(Tabel_forfaits[forfait vanaf 2022],MATCH(Tabel_prc_2023[[#This Row],[Zaakcode]],Tabel_forfaits[Zaakcode],0)), "n.v.t.")</f>
        <v>10</v>
      </c>
      <c r="N137" s="35">
        <f>IFERROR(INDEX(Tabel_forfaits[forfait VdM II voor berekening],MATCH(Tabel_prc_2023[[#This Row],[Zaakcode]],Tabel_forfaits[Zaakcode],0)), "n.v.t.")</f>
        <v>11</v>
      </c>
      <c r="O137" s="36"/>
      <c r="P13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1843</v>
      </c>
      <c r="Q13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56</v>
      </c>
      <c r="R13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6</v>
      </c>
      <c r="S137" s="35">
        <f>IF(Tabel_prc_2023[[#This Row],[procedure - forfait VdM II]]="n.v.t.",0,  Tabel_prc_2023[[#This Row],[procedure - aantal 0 punten]] * (Tabel_prc_2023[[#This Row],[procedure - forfait VdM II]] - Tabel_prc_2023[[#This Row],[procedure - forfait VdM I]]))</f>
        <v>0</v>
      </c>
      <c r="T13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1903</v>
      </c>
      <c r="U13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1905</v>
      </c>
      <c r="V137" s="109">
        <f>Tabel_prc_2023[[#This Row],[procedure - totaal extra punten toev. VdM II t.o.v. huidig]] * tarief_huidig</f>
        <v>291704.07749999996</v>
      </c>
    </row>
    <row r="138" spans="1:22" x14ac:dyDescent="0.3">
      <c r="A138"/>
      <c r="B138" s="1" t="s">
        <v>133</v>
      </c>
      <c r="C138" s="34" t="s">
        <v>5</v>
      </c>
      <c r="D13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5118</v>
      </c>
      <c r="E13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19820.3</v>
      </c>
      <c r="F138" s="91">
        <f>SUMIFS(Tabel_VAS2023[aantal_VAS],Tabel_VAS2023[Zaakcode],Tabel_prc_2023[[#This Row],[Zaakcode]],Tabel_VAS2023[Adviesofprocedure],"prc",Tabel_VAS2023[code_punten_forfait],10)</f>
        <v>0</v>
      </c>
      <c r="G138" s="91">
        <f>SUMIFS(Tabel_VAS2023[aantal_VAS],Tabel_VAS2023[Zaakcode],Tabel_prc_2023[[#This Row],[Zaakcode]],Tabel_VAS2023[Adviesofprocedure],"prc",Tabel_VAS2023[code_punten_forfait],11)</f>
        <v>448</v>
      </c>
      <c r="H138" s="92">
        <f>SUMIFS(Tabel_VAS2023[aantal_VAS],Tabel_VAS2023[Zaakcode],Tabel_prc_2023[[#This Row],[Zaakcode]],Tabel_VAS2023[Adviesofprocedure],"prc",Tabel_VAS2023[code_punten_forfait],13)</f>
        <v>6</v>
      </c>
      <c r="I138" s="92">
        <f>SUMIFS(Tabel_VAS2023[aantal_VAS],Tabel_VAS2023[Zaakcode],Tabel_prc_2023[[#This Row],[Zaakcode]],Tabel_VAS2023[Adviesofprocedure],"prc",Tabel_VAS2023[code_punten_forfait],14)</f>
        <v>6</v>
      </c>
      <c r="J138" s="91">
        <f>SUMIFS(Tabel_VAS2023[aantal_VAS],Tabel_VAS2023[Zaakcode],Tabel_prc_2023[[#This Row],[Zaakcode]],Tabel_VAS2023[Adviesofprocedure],"prc",Tabel_VAS2023[code_punten_forfait],12)</f>
        <v>4522</v>
      </c>
      <c r="K138" s="92">
        <f>SUMIFS(Tabel_VAS2023[aantal_VAS],Tabel_VAS2023[Zaakcode],Tabel_prc_2023[[#This Row],[Zaakcode]],Tabel_VAS2023[Adviesofprocedure],"prc",Tabel_VAS2023[code_punten_forfait],15)</f>
        <v>120</v>
      </c>
      <c r="L138" s="92">
        <f>SUMIFS(Tabel_VAS2023[aantal_VAS],Tabel_VAS2023[Zaakcode],Tabel_prc_2023[[#This Row],[Zaakcode]],Tabel_VAS2023[Adviesofprocedure],"prc",Tabel_VAS2023[code_punten_forfait],16)</f>
        <v>16</v>
      </c>
      <c r="M138" s="35">
        <f>IFERROR(INDEX(Tabel_forfaits[forfait vanaf 2022],MATCH(Tabel_prc_2023[[#This Row],[Zaakcode]],Tabel_forfaits[Zaakcode],0)), "n.v.t.")</f>
        <v>4</v>
      </c>
      <c r="N138" s="35">
        <f>IFERROR(INDEX(Tabel_forfaits[forfait VdM II voor berekening],MATCH(Tabel_prc_2023[[#This Row],[Zaakcode]],Tabel_forfaits[Zaakcode],0)), "n.v.t.")</f>
        <v>4</v>
      </c>
      <c r="O138" s="36"/>
      <c r="P13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8" s="35">
        <f>IF(Tabel_prc_2023[[#This Row],[procedure - forfait VdM II]]="n.v.t.",0,  Tabel_prc_2023[[#This Row],[procedure - aantal 0 punten]] * (Tabel_prc_2023[[#This Row],[procedure - forfait VdM II]] - Tabel_prc_2023[[#This Row],[procedure - forfait VdM I]]))</f>
        <v>0</v>
      </c>
      <c r="T13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5118</v>
      </c>
      <c r="U13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8" s="109">
        <f>Tabel_prc_2023[[#This Row],[procedure - totaal extra punten toev. VdM II t.o.v. huidig]] * tarief_huidig</f>
        <v>0</v>
      </c>
    </row>
    <row r="139" spans="1:22" x14ac:dyDescent="0.3">
      <c r="A139"/>
      <c r="B139" s="1" t="s">
        <v>134</v>
      </c>
      <c r="C139" s="34" t="s">
        <v>5</v>
      </c>
      <c r="D13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2158</v>
      </c>
      <c r="E13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10684.5</v>
      </c>
      <c r="F139" s="91">
        <f>SUMIFS(Tabel_VAS2023[aantal_VAS],Tabel_VAS2023[Zaakcode],Tabel_prc_2023[[#This Row],[Zaakcode]],Tabel_VAS2023[Adviesofprocedure],"prc",Tabel_VAS2023[code_punten_forfait],10)</f>
        <v>0</v>
      </c>
      <c r="G139" s="91">
        <f>SUMIFS(Tabel_VAS2023[aantal_VAS],Tabel_VAS2023[Zaakcode],Tabel_prc_2023[[#This Row],[Zaakcode]],Tabel_VAS2023[Adviesofprocedure],"prc",Tabel_VAS2023[code_punten_forfait],11)</f>
        <v>99</v>
      </c>
      <c r="H139" s="92">
        <f>SUMIFS(Tabel_VAS2023[aantal_VAS],Tabel_VAS2023[Zaakcode],Tabel_prc_2023[[#This Row],[Zaakcode]],Tabel_VAS2023[Adviesofprocedure],"prc",Tabel_VAS2023[code_punten_forfait],13)</f>
        <v>0</v>
      </c>
      <c r="I139" s="92">
        <f>SUMIFS(Tabel_VAS2023[aantal_VAS],Tabel_VAS2023[Zaakcode],Tabel_prc_2023[[#This Row],[Zaakcode]],Tabel_VAS2023[Adviesofprocedure],"prc",Tabel_VAS2023[code_punten_forfait],14)</f>
        <v>0</v>
      </c>
      <c r="J139" s="91">
        <f>SUMIFS(Tabel_VAS2023[aantal_VAS],Tabel_VAS2023[Zaakcode],Tabel_prc_2023[[#This Row],[Zaakcode]],Tabel_VAS2023[Adviesofprocedure],"prc",Tabel_VAS2023[code_punten_forfait],12)</f>
        <v>2055</v>
      </c>
      <c r="K139" s="92">
        <f>SUMIFS(Tabel_VAS2023[aantal_VAS],Tabel_VAS2023[Zaakcode],Tabel_prc_2023[[#This Row],[Zaakcode]],Tabel_VAS2023[Adviesofprocedure],"prc",Tabel_VAS2023[code_punten_forfait],15)</f>
        <v>3</v>
      </c>
      <c r="L139" s="92">
        <f>SUMIFS(Tabel_VAS2023[aantal_VAS],Tabel_VAS2023[Zaakcode],Tabel_prc_2023[[#This Row],[Zaakcode]],Tabel_VAS2023[Adviesofprocedure],"prc",Tabel_VAS2023[code_punten_forfait],16)</f>
        <v>1</v>
      </c>
      <c r="M139" s="35">
        <f>IFERROR(INDEX(Tabel_forfaits[forfait vanaf 2022],MATCH(Tabel_prc_2023[[#This Row],[Zaakcode]],Tabel_forfaits[Zaakcode],0)), "n.v.t.")</f>
        <v>5</v>
      </c>
      <c r="N139" s="35">
        <f>IFERROR(INDEX(Tabel_forfaits[forfait VdM II voor berekening],MATCH(Tabel_prc_2023[[#This Row],[Zaakcode]],Tabel_forfaits[Zaakcode],0)), "n.v.t.")</f>
        <v>5</v>
      </c>
      <c r="O139" s="36"/>
      <c r="P13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3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3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39" s="35">
        <f>IF(Tabel_prc_2023[[#This Row],[procedure - forfait VdM II]]="n.v.t.",0,  Tabel_prc_2023[[#This Row],[procedure - aantal 0 punten]] * (Tabel_prc_2023[[#This Row],[procedure - forfait VdM II]] - Tabel_prc_2023[[#This Row],[procedure - forfait VdM I]]))</f>
        <v>0</v>
      </c>
      <c r="T13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2158</v>
      </c>
      <c r="U13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39" s="109">
        <f>Tabel_prc_2023[[#This Row],[procedure - totaal extra punten toev. VdM II t.o.v. huidig]] * tarief_huidig</f>
        <v>0</v>
      </c>
    </row>
    <row r="140" spans="1:22" x14ac:dyDescent="0.3">
      <c r="A140"/>
      <c r="B140" s="1" t="s">
        <v>135</v>
      </c>
      <c r="C140" s="34" t="s">
        <v>5</v>
      </c>
      <c r="D14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709</v>
      </c>
      <c r="E14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5778.7</v>
      </c>
      <c r="F140" s="91">
        <f>SUMIFS(Tabel_VAS2023[aantal_VAS],Tabel_VAS2023[Zaakcode],Tabel_prc_2023[[#This Row],[Zaakcode]],Tabel_VAS2023[Adviesofprocedure],"prc",Tabel_VAS2023[code_punten_forfait],10)</f>
        <v>2</v>
      </c>
      <c r="G140" s="91">
        <f>SUMIFS(Tabel_VAS2023[aantal_VAS],Tabel_VAS2023[Zaakcode],Tabel_prc_2023[[#This Row],[Zaakcode]],Tabel_VAS2023[Adviesofprocedure],"prc",Tabel_VAS2023[code_punten_forfait],11)</f>
        <v>103</v>
      </c>
      <c r="H140" s="92">
        <f>SUMIFS(Tabel_VAS2023[aantal_VAS],Tabel_VAS2023[Zaakcode],Tabel_prc_2023[[#This Row],[Zaakcode]],Tabel_VAS2023[Adviesofprocedure],"prc",Tabel_VAS2023[code_punten_forfait],13)</f>
        <v>28</v>
      </c>
      <c r="I140" s="92">
        <f>SUMIFS(Tabel_VAS2023[aantal_VAS],Tabel_VAS2023[Zaakcode],Tabel_prc_2023[[#This Row],[Zaakcode]],Tabel_VAS2023[Adviesofprocedure],"prc",Tabel_VAS2023[code_punten_forfait],14)</f>
        <v>41</v>
      </c>
      <c r="J140" s="91">
        <f>SUMIFS(Tabel_VAS2023[aantal_VAS],Tabel_VAS2023[Zaakcode],Tabel_prc_2023[[#This Row],[Zaakcode]],Tabel_VAS2023[Adviesofprocedure],"prc",Tabel_VAS2023[code_punten_forfait],12)</f>
        <v>391</v>
      </c>
      <c r="K140" s="92">
        <f>SUMIFS(Tabel_VAS2023[aantal_VAS],Tabel_VAS2023[Zaakcode],Tabel_prc_2023[[#This Row],[Zaakcode]],Tabel_VAS2023[Adviesofprocedure],"prc",Tabel_VAS2023[code_punten_forfait],15)</f>
        <v>101</v>
      </c>
      <c r="L140" s="92">
        <f>SUMIFS(Tabel_VAS2023[aantal_VAS],Tabel_VAS2023[Zaakcode],Tabel_prc_2023[[#This Row],[Zaakcode]],Tabel_VAS2023[Adviesofprocedure],"prc",Tabel_VAS2023[code_punten_forfait],16)</f>
        <v>43</v>
      </c>
      <c r="M140" s="35">
        <f>IFERROR(INDEX(Tabel_forfaits[forfait vanaf 2022],MATCH(Tabel_prc_2023[[#This Row],[Zaakcode]],Tabel_forfaits[Zaakcode],0)), "n.v.t.")</f>
        <v>9</v>
      </c>
      <c r="N140" s="35">
        <f>IFERROR(INDEX(Tabel_forfaits[forfait VdM II voor berekening],MATCH(Tabel_prc_2023[[#This Row],[Zaakcode]],Tabel_forfaits[Zaakcode],0)), "n.v.t.")</f>
        <v>9</v>
      </c>
      <c r="O140" s="36"/>
      <c r="P14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0" s="35">
        <f>IF(Tabel_prc_2023[[#This Row],[procedure - forfait VdM II]]="n.v.t.",0,  Tabel_prc_2023[[#This Row],[procedure - aantal 0 punten]] * (Tabel_prc_2023[[#This Row],[procedure - forfait VdM II]] - Tabel_prc_2023[[#This Row],[procedure - forfait VdM I]]))</f>
        <v>0</v>
      </c>
      <c r="T14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707</v>
      </c>
      <c r="U14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0" s="109">
        <f>Tabel_prc_2023[[#This Row],[procedure - totaal extra punten toev. VdM II t.o.v. huidig]] * tarief_huidig</f>
        <v>0</v>
      </c>
    </row>
    <row r="141" spans="1:22" x14ac:dyDescent="0.3">
      <c r="A141"/>
      <c r="B141" s="1" t="s">
        <v>136</v>
      </c>
      <c r="C141" s="34" t="s">
        <v>5</v>
      </c>
      <c r="D14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2630</v>
      </c>
      <c r="E14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13041</v>
      </c>
      <c r="F141" s="91">
        <f>SUMIFS(Tabel_VAS2023[aantal_VAS],Tabel_VAS2023[Zaakcode],Tabel_prc_2023[[#This Row],[Zaakcode]],Tabel_VAS2023[Adviesofprocedure],"prc",Tabel_VAS2023[code_punten_forfait],10)</f>
        <v>0</v>
      </c>
      <c r="G141" s="91">
        <f>SUMIFS(Tabel_VAS2023[aantal_VAS],Tabel_VAS2023[Zaakcode],Tabel_prc_2023[[#This Row],[Zaakcode]],Tabel_VAS2023[Adviesofprocedure],"prc",Tabel_VAS2023[code_punten_forfait],11)</f>
        <v>205</v>
      </c>
      <c r="H141" s="92">
        <f>SUMIFS(Tabel_VAS2023[aantal_VAS],Tabel_VAS2023[Zaakcode],Tabel_prc_2023[[#This Row],[Zaakcode]],Tabel_VAS2023[Adviesofprocedure],"prc",Tabel_VAS2023[code_punten_forfait],13)</f>
        <v>2</v>
      </c>
      <c r="I141" s="92">
        <f>SUMIFS(Tabel_VAS2023[aantal_VAS],Tabel_VAS2023[Zaakcode],Tabel_prc_2023[[#This Row],[Zaakcode]],Tabel_VAS2023[Adviesofprocedure],"prc",Tabel_VAS2023[code_punten_forfait],14)</f>
        <v>10</v>
      </c>
      <c r="J141" s="91">
        <f>SUMIFS(Tabel_VAS2023[aantal_VAS],Tabel_VAS2023[Zaakcode],Tabel_prc_2023[[#This Row],[Zaakcode]],Tabel_VAS2023[Adviesofprocedure],"prc",Tabel_VAS2023[code_punten_forfait],12)</f>
        <v>2359</v>
      </c>
      <c r="K141" s="92">
        <f>SUMIFS(Tabel_VAS2023[aantal_VAS],Tabel_VAS2023[Zaakcode],Tabel_prc_2023[[#This Row],[Zaakcode]],Tabel_VAS2023[Adviesofprocedure],"prc",Tabel_VAS2023[code_punten_forfait],15)</f>
        <v>21</v>
      </c>
      <c r="L141" s="92">
        <f>SUMIFS(Tabel_VAS2023[aantal_VAS],Tabel_VAS2023[Zaakcode],Tabel_prc_2023[[#This Row],[Zaakcode]],Tabel_VAS2023[Adviesofprocedure],"prc",Tabel_VAS2023[code_punten_forfait],16)</f>
        <v>33</v>
      </c>
      <c r="M141" s="35">
        <f>IFERROR(INDEX(Tabel_forfaits[forfait vanaf 2022],MATCH(Tabel_prc_2023[[#This Row],[Zaakcode]],Tabel_forfaits[Zaakcode],0)), "n.v.t.")</f>
        <v>5</v>
      </c>
      <c r="N141" s="35">
        <f>IFERROR(INDEX(Tabel_forfaits[forfait VdM II voor berekening],MATCH(Tabel_prc_2023[[#This Row],[Zaakcode]],Tabel_forfaits[Zaakcode],0)), "n.v.t.")</f>
        <v>5</v>
      </c>
      <c r="O141" s="36"/>
      <c r="P14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1" s="35">
        <f>IF(Tabel_prc_2023[[#This Row],[procedure - forfait VdM II]]="n.v.t.",0,  Tabel_prc_2023[[#This Row],[procedure - aantal 0 punten]] * (Tabel_prc_2023[[#This Row],[procedure - forfait VdM II]] - Tabel_prc_2023[[#This Row],[procedure - forfait VdM I]]))</f>
        <v>0</v>
      </c>
      <c r="T14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2630</v>
      </c>
      <c r="U14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1" s="109">
        <f>Tabel_prc_2023[[#This Row],[procedure - totaal extra punten toev. VdM II t.o.v. huidig]] * tarief_huidig</f>
        <v>0</v>
      </c>
    </row>
    <row r="142" spans="1:22" x14ac:dyDescent="0.3">
      <c r="A142"/>
      <c r="B142" s="1" t="s">
        <v>137</v>
      </c>
      <c r="C142" s="34" t="s">
        <v>5</v>
      </c>
      <c r="D14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88</v>
      </c>
      <c r="E14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512</v>
      </c>
      <c r="F142" s="91">
        <f>SUMIFS(Tabel_VAS2023[aantal_VAS],Tabel_VAS2023[Zaakcode],Tabel_prc_2023[[#This Row],[Zaakcode]],Tabel_VAS2023[Adviesofprocedure],"prc",Tabel_VAS2023[code_punten_forfait],10)</f>
        <v>0</v>
      </c>
      <c r="G142" s="91">
        <f>SUMIFS(Tabel_VAS2023[aantal_VAS],Tabel_VAS2023[Zaakcode],Tabel_prc_2023[[#This Row],[Zaakcode]],Tabel_VAS2023[Adviesofprocedure],"prc",Tabel_VAS2023[code_punten_forfait],11)</f>
        <v>6</v>
      </c>
      <c r="H142" s="92">
        <f>SUMIFS(Tabel_VAS2023[aantal_VAS],Tabel_VAS2023[Zaakcode],Tabel_prc_2023[[#This Row],[Zaakcode]],Tabel_VAS2023[Adviesofprocedure],"prc",Tabel_VAS2023[code_punten_forfait],13)</f>
        <v>0</v>
      </c>
      <c r="I142" s="92">
        <f>SUMIFS(Tabel_VAS2023[aantal_VAS],Tabel_VAS2023[Zaakcode],Tabel_prc_2023[[#This Row],[Zaakcode]],Tabel_VAS2023[Adviesofprocedure],"prc",Tabel_VAS2023[code_punten_forfait],14)</f>
        <v>0</v>
      </c>
      <c r="J142" s="91">
        <f>SUMIFS(Tabel_VAS2023[aantal_VAS],Tabel_VAS2023[Zaakcode],Tabel_prc_2023[[#This Row],[Zaakcode]],Tabel_VAS2023[Adviesofprocedure],"prc",Tabel_VAS2023[code_punten_forfait],12)</f>
        <v>78</v>
      </c>
      <c r="K142" s="92">
        <f>SUMIFS(Tabel_VAS2023[aantal_VAS],Tabel_VAS2023[Zaakcode],Tabel_prc_2023[[#This Row],[Zaakcode]],Tabel_VAS2023[Adviesofprocedure],"prc",Tabel_VAS2023[code_punten_forfait],15)</f>
        <v>4</v>
      </c>
      <c r="L142" s="92">
        <f>SUMIFS(Tabel_VAS2023[aantal_VAS],Tabel_VAS2023[Zaakcode],Tabel_prc_2023[[#This Row],[Zaakcode]],Tabel_VAS2023[Adviesofprocedure],"prc",Tabel_VAS2023[code_punten_forfait],16)</f>
        <v>0</v>
      </c>
      <c r="M142" s="35">
        <f>IFERROR(INDEX(Tabel_forfaits[forfait vanaf 2022],MATCH(Tabel_prc_2023[[#This Row],[Zaakcode]],Tabel_forfaits[Zaakcode],0)), "n.v.t.")</f>
        <v>6</v>
      </c>
      <c r="N142" s="35">
        <f>IFERROR(INDEX(Tabel_forfaits[forfait VdM II voor berekening],MATCH(Tabel_prc_2023[[#This Row],[Zaakcode]],Tabel_forfaits[Zaakcode],0)), "n.v.t.")</f>
        <v>6</v>
      </c>
      <c r="O142" s="36"/>
      <c r="P14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2" s="35">
        <f>IF(Tabel_prc_2023[[#This Row],[procedure - forfait VdM II]]="n.v.t.",0,  Tabel_prc_2023[[#This Row],[procedure - aantal 0 punten]] * (Tabel_prc_2023[[#This Row],[procedure - forfait VdM II]] - Tabel_prc_2023[[#This Row],[procedure - forfait VdM I]]))</f>
        <v>0</v>
      </c>
      <c r="T14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88</v>
      </c>
      <c r="U14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2" s="109">
        <f>Tabel_prc_2023[[#This Row],[procedure - totaal extra punten toev. VdM II t.o.v. huidig]] * tarief_huidig</f>
        <v>0</v>
      </c>
    </row>
    <row r="143" spans="1:22" x14ac:dyDescent="0.3">
      <c r="A143"/>
      <c r="B143" s="1" t="s">
        <v>138</v>
      </c>
      <c r="C143" s="34" t="s">
        <v>5</v>
      </c>
      <c r="D14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4288</v>
      </c>
      <c r="E14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17114.5</v>
      </c>
      <c r="F143" s="91">
        <f>SUMIFS(Tabel_VAS2023[aantal_VAS],Tabel_VAS2023[Zaakcode],Tabel_prc_2023[[#This Row],[Zaakcode]],Tabel_VAS2023[Adviesofprocedure],"prc",Tabel_VAS2023[code_punten_forfait],10)</f>
        <v>0</v>
      </c>
      <c r="G143" s="91">
        <f>SUMIFS(Tabel_VAS2023[aantal_VAS],Tabel_VAS2023[Zaakcode],Tabel_prc_2023[[#This Row],[Zaakcode]],Tabel_VAS2023[Adviesofprocedure],"prc",Tabel_VAS2023[code_punten_forfait],11)</f>
        <v>556</v>
      </c>
      <c r="H143" s="92">
        <f>SUMIFS(Tabel_VAS2023[aantal_VAS],Tabel_VAS2023[Zaakcode],Tabel_prc_2023[[#This Row],[Zaakcode]],Tabel_VAS2023[Adviesofprocedure],"prc",Tabel_VAS2023[code_punten_forfait],13)</f>
        <v>7</v>
      </c>
      <c r="I143" s="91">
        <f>SUMIFS(Tabel_VAS2023[aantal_VAS],Tabel_VAS2023[Zaakcode],Tabel_prc_2023[[#This Row],[Zaakcode]],Tabel_VAS2023[Adviesofprocedure],"prc",Tabel_VAS2023[code_punten_forfait],14)</f>
        <v>0</v>
      </c>
      <c r="J143" s="91">
        <f>SUMIFS(Tabel_VAS2023[aantal_VAS],Tabel_VAS2023[Zaakcode],Tabel_prc_2023[[#This Row],[Zaakcode]],Tabel_VAS2023[Adviesofprocedure],"prc",Tabel_VAS2023[code_punten_forfait],12)</f>
        <v>3700</v>
      </c>
      <c r="K143" s="92">
        <f>SUMIFS(Tabel_VAS2023[aantal_VAS],Tabel_VAS2023[Zaakcode],Tabel_prc_2023[[#This Row],[Zaakcode]],Tabel_VAS2023[Adviesofprocedure],"prc",Tabel_VAS2023[code_punten_forfait],15)</f>
        <v>21</v>
      </c>
      <c r="L143" s="92">
        <f>SUMIFS(Tabel_VAS2023[aantal_VAS],Tabel_VAS2023[Zaakcode],Tabel_prc_2023[[#This Row],[Zaakcode]],Tabel_VAS2023[Adviesofprocedure],"prc",Tabel_VAS2023[code_punten_forfait],16)</f>
        <v>4</v>
      </c>
      <c r="M143" s="35">
        <f>IFERROR(INDEX(Tabel_forfaits[forfait vanaf 2022],MATCH(Tabel_prc_2023[[#This Row],[Zaakcode]],Tabel_forfaits[Zaakcode],0)), "n.v.t.")</f>
        <v>4</v>
      </c>
      <c r="N143" s="35">
        <f>IFERROR(INDEX(Tabel_forfaits[forfait VdM II voor berekening],MATCH(Tabel_prc_2023[[#This Row],[Zaakcode]],Tabel_forfaits[Zaakcode],0)), "n.v.t.")</f>
        <v>4</v>
      </c>
      <c r="O143" s="36"/>
      <c r="P14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3" s="35">
        <f>IF(Tabel_prc_2023[[#This Row],[procedure - forfait VdM II]]="n.v.t.",0,  Tabel_prc_2023[[#This Row],[procedure - aantal 0 punten]] * (Tabel_prc_2023[[#This Row],[procedure - forfait VdM II]] - Tabel_prc_2023[[#This Row],[procedure - forfait VdM I]]))</f>
        <v>0</v>
      </c>
      <c r="T14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4288</v>
      </c>
      <c r="U14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3" s="109">
        <f>Tabel_prc_2023[[#This Row],[procedure - totaal extra punten toev. VdM II t.o.v. huidig]] * tarief_huidig</f>
        <v>0</v>
      </c>
    </row>
    <row r="144" spans="1:22" x14ac:dyDescent="0.3">
      <c r="A144"/>
      <c r="B144" s="1" t="s">
        <v>139</v>
      </c>
      <c r="C144" s="34" t="s">
        <v>5</v>
      </c>
      <c r="D14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1236</v>
      </c>
      <c r="E14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4814</v>
      </c>
      <c r="F144" s="91">
        <f>SUMIFS(Tabel_VAS2023[aantal_VAS],Tabel_VAS2023[Zaakcode],Tabel_prc_2023[[#This Row],[Zaakcode]],Tabel_VAS2023[Adviesofprocedure],"prc",Tabel_VAS2023[code_punten_forfait],10)</f>
        <v>0</v>
      </c>
      <c r="G144" s="91">
        <f>SUMIFS(Tabel_VAS2023[aantal_VAS],Tabel_VAS2023[Zaakcode],Tabel_prc_2023[[#This Row],[Zaakcode]],Tabel_VAS2023[Adviesofprocedure],"prc",Tabel_VAS2023[code_punten_forfait],11)</f>
        <v>126</v>
      </c>
      <c r="H144" s="92">
        <f>SUMIFS(Tabel_VAS2023[aantal_VAS],Tabel_VAS2023[Zaakcode],Tabel_prc_2023[[#This Row],[Zaakcode]],Tabel_VAS2023[Adviesofprocedure],"prc",Tabel_VAS2023[code_punten_forfait],13)</f>
        <v>0</v>
      </c>
      <c r="I144" s="92">
        <f>SUMIFS(Tabel_VAS2023[aantal_VAS],Tabel_VAS2023[Zaakcode],Tabel_prc_2023[[#This Row],[Zaakcode]],Tabel_VAS2023[Adviesofprocedure],"prc",Tabel_VAS2023[code_punten_forfait],14)</f>
        <v>0</v>
      </c>
      <c r="J144" s="91">
        <f>SUMIFS(Tabel_VAS2023[aantal_VAS],Tabel_VAS2023[Zaakcode],Tabel_prc_2023[[#This Row],[Zaakcode]],Tabel_VAS2023[Adviesofprocedure],"prc",Tabel_VAS2023[code_punten_forfait],12)</f>
        <v>1105</v>
      </c>
      <c r="K144" s="92">
        <f>SUMIFS(Tabel_VAS2023[aantal_VAS],Tabel_VAS2023[Zaakcode],Tabel_prc_2023[[#This Row],[Zaakcode]],Tabel_VAS2023[Adviesofprocedure],"prc",Tabel_VAS2023[code_punten_forfait],15)</f>
        <v>4</v>
      </c>
      <c r="L144" s="92">
        <f>SUMIFS(Tabel_VAS2023[aantal_VAS],Tabel_VAS2023[Zaakcode],Tabel_prc_2023[[#This Row],[Zaakcode]],Tabel_VAS2023[Adviesofprocedure],"prc",Tabel_VAS2023[code_punten_forfait],16)</f>
        <v>1</v>
      </c>
      <c r="M144" s="35">
        <f>IFERROR(INDEX(Tabel_forfaits[forfait vanaf 2022],MATCH(Tabel_prc_2023[[#This Row],[Zaakcode]],Tabel_forfaits[Zaakcode],0)), "n.v.t.")</f>
        <v>4</v>
      </c>
      <c r="N144" s="35">
        <f>IFERROR(INDEX(Tabel_forfaits[forfait VdM II voor berekening],MATCH(Tabel_prc_2023[[#This Row],[Zaakcode]],Tabel_forfaits[Zaakcode],0)), "n.v.t.")</f>
        <v>6</v>
      </c>
      <c r="O144" s="36"/>
      <c r="P14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2462</v>
      </c>
      <c r="Q14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v>
      </c>
      <c r="R14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v>
      </c>
      <c r="S144" s="35">
        <f>IF(Tabel_prc_2023[[#This Row],[procedure - forfait VdM II]]="n.v.t.",0,  Tabel_prc_2023[[#This Row],[procedure - aantal 0 punten]] * (Tabel_prc_2023[[#This Row],[procedure - forfait VdM II]] - Tabel_prc_2023[[#This Row],[procedure - forfait VdM I]]))</f>
        <v>0</v>
      </c>
      <c r="T14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1236</v>
      </c>
      <c r="U144"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2473</v>
      </c>
      <c r="V144" s="109">
        <f>Tabel_prc_2023[[#This Row],[procedure - totaal extra punten toev. VdM II t.o.v. huidig]] * tarief_huidig</f>
        <v>378679.3615</v>
      </c>
    </row>
    <row r="145" spans="1:22" x14ac:dyDescent="0.3">
      <c r="A145"/>
      <c r="B145" s="1" t="s">
        <v>140</v>
      </c>
      <c r="C145" s="34" t="s">
        <v>5</v>
      </c>
      <c r="D145"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3658</v>
      </c>
      <c r="E145"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17839.599999999999</v>
      </c>
      <c r="F145" s="91">
        <f>SUMIFS(Tabel_VAS2023[aantal_VAS],Tabel_VAS2023[Zaakcode],Tabel_prc_2023[[#This Row],[Zaakcode]],Tabel_VAS2023[Adviesofprocedure],"prc",Tabel_VAS2023[code_punten_forfait],10)</f>
        <v>0</v>
      </c>
      <c r="G145" s="91">
        <f>SUMIFS(Tabel_VAS2023[aantal_VAS],Tabel_VAS2023[Zaakcode],Tabel_prc_2023[[#This Row],[Zaakcode]],Tabel_VAS2023[Adviesofprocedure],"prc",Tabel_VAS2023[code_punten_forfait],11)</f>
        <v>228</v>
      </c>
      <c r="H145" s="92">
        <f>SUMIFS(Tabel_VAS2023[aantal_VAS],Tabel_VAS2023[Zaakcode],Tabel_prc_2023[[#This Row],[Zaakcode]],Tabel_VAS2023[Adviesofprocedure],"prc",Tabel_VAS2023[code_punten_forfait],13)</f>
        <v>1</v>
      </c>
      <c r="I145" s="92">
        <f>SUMIFS(Tabel_VAS2023[aantal_VAS],Tabel_VAS2023[Zaakcode],Tabel_prc_2023[[#This Row],[Zaakcode]],Tabel_VAS2023[Adviesofprocedure],"prc",Tabel_VAS2023[code_punten_forfait],14)</f>
        <v>0</v>
      </c>
      <c r="J145" s="91">
        <f>SUMIFS(Tabel_VAS2023[aantal_VAS],Tabel_VAS2023[Zaakcode],Tabel_prc_2023[[#This Row],[Zaakcode]],Tabel_VAS2023[Adviesofprocedure],"prc",Tabel_VAS2023[code_punten_forfait],12)</f>
        <v>3421</v>
      </c>
      <c r="K145" s="92">
        <f>SUMIFS(Tabel_VAS2023[aantal_VAS],Tabel_VAS2023[Zaakcode],Tabel_prc_2023[[#This Row],[Zaakcode]],Tabel_VAS2023[Adviesofprocedure],"prc",Tabel_VAS2023[code_punten_forfait],15)</f>
        <v>4</v>
      </c>
      <c r="L145" s="92">
        <f>SUMIFS(Tabel_VAS2023[aantal_VAS],Tabel_VAS2023[Zaakcode],Tabel_prc_2023[[#This Row],[Zaakcode]],Tabel_VAS2023[Adviesofprocedure],"prc",Tabel_VAS2023[code_punten_forfait],16)</f>
        <v>4</v>
      </c>
      <c r="M145" s="35">
        <f>IFERROR(INDEX(Tabel_forfaits[forfait vanaf 2022],MATCH(Tabel_prc_2023[[#This Row],[Zaakcode]],Tabel_forfaits[Zaakcode],0)), "n.v.t.")</f>
        <v>5</v>
      </c>
      <c r="N145" s="35">
        <f>IFERROR(INDEX(Tabel_forfaits[forfait VdM II voor berekening],MATCH(Tabel_prc_2023[[#This Row],[Zaakcode]],Tabel_forfaits[Zaakcode],0)), "n.v.t.")</f>
        <v>5</v>
      </c>
      <c r="O145" s="36"/>
      <c r="P145"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5"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5"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5" s="35">
        <f>IF(Tabel_prc_2023[[#This Row],[procedure - forfait VdM II]]="n.v.t.",0,  Tabel_prc_2023[[#This Row],[procedure - aantal 0 punten]] * (Tabel_prc_2023[[#This Row],[procedure - forfait VdM II]] - Tabel_prc_2023[[#This Row],[procedure - forfait VdM I]]))</f>
        <v>0</v>
      </c>
      <c r="T145"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3658</v>
      </c>
      <c r="U145"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5" s="109">
        <f>Tabel_prc_2023[[#This Row],[procedure - totaal extra punten toev. VdM II t.o.v. huidig]] * tarief_huidig</f>
        <v>0</v>
      </c>
    </row>
    <row r="146" spans="1:22" x14ac:dyDescent="0.3">
      <c r="A146"/>
      <c r="B146" s="1" t="s">
        <v>141</v>
      </c>
      <c r="C146" s="34" t="s">
        <v>5</v>
      </c>
      <c r="D146"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3645</v>
      </c>
      <c r="E146"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17956.899999999998</v>
      </c>
      <c r="F146" s="91">
        <f>SUMIFS(Tabel_VAS2023[aantal_VAS],Tabel_VAS2023[Zaakcode],Tabel_prc_2023[[#This Row],[Zaakcode]],Tabel_VAS2023[Adviesofprocedure],"prc",Tabel_VAS2023[code_punten_forfait],10)</f>
        <v>1</v>
      </c>
      <c r="G146" s="91">
        <f>SUMIFS(Tabel_VAS2023[aantal_VAS],Tabel_VAS2023[Zaakcode],Tabel_prc_2023[[#This Row],[Zaakcode]],Tabel_VAS2023[Adviesofprocedure],"prc",Tabel_VAS2023[code_punten_forfait],11)</f>
        <v>156</v>
      </c>
      <c r="H146" s="92">
        <f>SUMIFS(Tabel_VAS2023[aantal_VAS],Tabel_VAS2023[Zaakcode],Tabel_prc_2023[[#This Row],[Zaakcode]],Tabel_VAS2023[Adviesofprocedure],"prc",Tabel_VAS2023[code_punten_forfait],13)</f>
        <v>0</v>
      </c>
      <c r="I146" s="92">
        <f>SUMIFS(Tabel_VAS2023[aantal_VAS],Tabel_VAS2023[Zaakcode],Tabel_prc_2023[[#This Row],[Zaakcode]],Tabel_VAS2023[Adviesofprocedure],"prc",Tabel_VAS2023[code_punten_forfait],14)</f>
        <v>1</v>
      </c>
      <c r="J146" s="91">
        <f>SUMIFS(Tabel_VAS2023[aantal_VAS],Tabel_VAS2023[Zaakcode],Tabel_prc_2023[[#This Row],[Zaakcode]],Tabel_VAS2023[Adviesofprocedure],"prc",Tabel_VAS2023[code_punten_forfait],12)</f>
        <v>3470</v>
      </c>
      <c r="K146" s="92">
        <f>SUMIFS(Tabel_VAS2023[aantal_VAS],Tabel_VAS2023[Zaakcode],Tabel_prc_2023[[#This Row],[Zaakcode]],Tabel_VAS2023[Adviesofprocedure],"prc",Tabel_VAS2023[code_punten_forfait],15)</f>
        <v>8</v>
      </c>
      <c r="L146" s="92">
        <f>SUMIFS(Tabel_VAS2023[aantal_VAS],Tabel_VAS2023[Zaakcode],Tabel_prc_2023[[#This Row],[Zaakcode]],Tabel_VAS2023[Adviesofprocedure],"prc",Tabel_VAS2023[code_punten_forfait],16)</f>
        <v>9</v>
      </c>
      <c r="M146" s="35">
        <f>IFERROR(INDEX(Tabel_forfaits[forfait vanaf 2022],MATCH(Tabel_prc_2023[[#This Row],[Zaakcode]],Tabel_forfaits[Zaakcode],0)), "n.v.t.")</f>
        <v>5</v>
      </c>
      <c r="N146" s="35">
        <f>IFERROR(INDEX(Tabel_forfaits[forfait VdM II voor berekening],MATCH(Tabel_prc_2023[[#This Row],[Zaakcode]],Tabel_forfaits[Zaakcode],0)), "n.v.t.")</f>
        <v>5</v>
      </c>
      <c r="O146" s="36"/>
      <c r="P146"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6"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6"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6" s="35">
        <f>IF(Tabel_prc_2023[[#This Row],[procedure - forfait VdM II]]="n.v.t.",0,  Tabel_prc_2023[[#This Row],[procedure - aantal 0 punten]] * (Tabel_prc_2023[[#This Row],[procedure - forfait VdM II]] - Tabel_prc_2023[[#This Row],[procedure - forfait VdM I]]))</f>
        <v>0</v>
      </c>
      <c r="T146"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3644</v>
      </c>
      <c r="U146"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6" s="109">
        <f>Tabel_prc_2023[[#This Row],[procedure - totaal extra punten toev. VdM II t.o.v. huidig]] * tarief_huidig</f>
        <v>0</v>
      </c>
    </row>
    <row r="147" spans="1:22" x14ac:dyDescent="0.3">
      <c r="A147"/>
      <c r="B147" s="1" t="s">
        <v>142</v>
      </c>
      <c r="C147" s="34" t="s">
        <v>5</v>
      </c>
      <c r="D147"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217</v>
      </c>
      <c r="E147"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1049</v>
      </c>
      <c r="F147" s="91">
        <f>SUMIFS(Tabel_VAS2023[aantal_VAS],Tabel_VAS2023[Zaakcode],Tabel_prc_2023[[#This Row],[Zaakcode]],Tabel_VAS2023[Adviesofprocedure],"prc",Tabel_VAS2023[code_punten_forfait],10)</f>
        <v>0</v>
      </c>
      <c r="G147" s="91">
        <f>SUMIFS(Tabel_VAS2023[aantal_VAS],Tabel_VAS2023[Zaakcode],Tabel_prc_2023[[#This Row],[Zaakcode]],Tabel_VAS2023[Adviesofprocedure],"prc",Tabel_VAS2023[code_punten_forfait],11)</f>
        <v>35</v>
      </c>
      <c r="H147" s="92">
        <f>SUMIFS(Tabel_VAS2023[aantal_VAS],Tabel_VAS2023[Zaakcode],Tabel_prc_2023[[#This Row],[Zaakcode]],Tabel_VAS2023[Adviesofprocedure],"prc",Tabel_VAS2023[code_punten_forfait],13)</f>
        <v>0</v>
      </c>
      <c r="I147" s="92">
        <f>SUMIFS(Tabel_VAS2023[aantal_VAS],Tabel_VAS2023[Zaakcode],Tabel_prc_2023[[#This Row],[Zaakcode]],Tabel_VAS2023[Adviesofprocedure],"prc",Tabel_VAS2023[code_punten_forfait],14)</f>
        <v>0</v>
      </c>
      <c r="J147" s="91">
        <f>SUMIFS(Tabel_VAS2023[aantal_VAS],Tabel_VAS2023[Zaakcode],Tabel_prc_2023[[#This Row],[Zaakcode]],Tabel_VAS2023[Adviesofprocedure],"prc",Tabel_VAS2023[code_punten_forfait],12)</f>
        <v>181</v>
      </c>
      <c r="K147" s="92">
        <f>SUMIFS(Tabel_VAS2023[aantal_VAS],Tabel_VAS2023[Zaakcode],Tabel_prc_2023[[#This Row],[Zaakcode]],Tabel_VAS2023[Adviesofprocedure],"prc",Tabel_VAS2023[code_punten_forfait],15)</f>
        <v>1</v>
      </c>
      <c r="L147" s="92">
        <f>SUMIFS(Tabel_VAS2023[aantal_VAS],Tabel_VAS2023[Zaakcode],Tabel_prc_2023[[#This Row],[Zaakcode]],Tabel_VAS2023[Adviesofprocedure],"prc",Tabel_VAS2023[code_punten_forfait],16)</f>
        <v>0</v>
      </c>
      <c r="M147" s="35">
        <f>IFERROR(INDEX(Tabel_forfaits[forfait vanaf 2022],MATCH(Tabel_prc_2023[[#This Row],[Zaakcode]],Tabel_forfaits[Zaakcode],0)), "n.v.t.")</f>
        <v>5</v>
      </c>
      <c r="N147" s="35">
        <f>IFERROR(INDEX(Tabel_forfaits[forfait VdM II voor berekening],MATCH(Tabel_prc_2023[[#This Row],[Zaakcode]],Tabel_forfaits[Zaakcode],0)), "n.v.t.")</f>
        <v>5</v>
      </c>
      <c r="O147" s="36"/>
      <c r="P147"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7"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7"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7" s="35">
        <f>IF(Tabel_prc_2023[[#This Row],[procedure - forfait VdM II]]="n.v.t.",0,  Tabel_prc_2023[[#This Row],[procedure - aantal 0 punten]] * (Tabel_prc_2023[[#This Row],[procedure - forfait VdM II]] - Tabel_prc_2023[[#This Row],[procedure - forfait VdM I]]))</f>
        <v>0</v>
      </c>
      <c r="T147"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217</v>
      </c>
      <c r="U147"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7" s="109">
        <f>Tabel_prc_2023[[#This Row],[procedure - totaal extra punten toev. VdM II t.o.v. huidig]] * tarief_huidig</f>
        <v>0</v>
      </c>
    </row>
    <row r="148" spans="1:22" x14ac:dyDescent="0.3">
      <c r="A148"/>
      <c r="B148" s="1" t="s">
        <v>143</v>
      </c>
      <c r="C148" s="34" t="s">
        <v>5</v>
      </c>
      <c r="D148"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870</v>
      </c>
      <c r="E148"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5597.9000000000005</v>
      </c>
      <c r="F148" s="91">
        <f>SUMIFS(Tabel_VAS2023[aantal_VAS],Tabel_VAS2023[Zaakcode],Tabel_prc_2023[[#This Row],[Zaakcode]],Tabel_VAS2023[Adviesofprocedure],"prc",Tabel_VAS2023[code_punten_forfait],10)</f>
        <v>0</v>
      </c>
      <c r="G148" s="91">
        <f>SUMIFS(Tabel_VAS2023[aantal_VAS],Tabel_VAS2023[Zaakcode],Tabel_prc_2023[[#This Row],[Zaakcode]],Tabel_VAS2023[Adviesofprocedure],"prc",Tabel_VAS2023[code_punten_forfait],11)</f>
        <v>174</v>
      </c>
      <c r="H148" s="92">
        <f>SUMIFS(Tabel_VAS2023[aantal_VAS],Tabel_VAS2023[Zaakcode],Tabel_prc_2023[[#This Row],[Zaakcode]],Tabel_VAS2023[Adviesofprocedure],"prc",Tabel_VAS2023[code_punten_forfait],13)</f>
        <v>1</v>
      </c>
      <c r="I148" s="92">
        <f>SUMIFS(Tabel_VAS2023[aantal_VAS],Tabel_VAS2023[Zaakcode],Tabel_prc_2023[[#This Row],[Zaakcode]],Tabel_VAS2023[Adviesofprocedure],"prc",Tabel_VAS2023[code_punten_forfait],14)</f>
        <v>2</v>
      </c>
      <c r="J148" s="91">
        <f>SUMIFS(Tabel_VAS2023[aantal_VAS],Tabel_VAS2023[Zaakcode],Tabel_prc_2023[[#This Row],[Zaakcode]],Tabel_VAS2023[Adviesofprocedure],"prc",Tabel_VAS2023[code_punten_forfait],12)</f>
        <v>625</v>
      </c>
      <c r="K148" s="92">
        <f>SUMIFS(Tabel_VAS2023[aantal_VAS],Tabel_VAS2023[Zaakcode],Tabel_prc_2023[[#This Row],[Zaakcode]],Tabel_VAS2023[Adviesofprocedure],"prc",Tabel_VAS2023[code_punten_forfait],15)</f>
        <v>62</v>
      </c>
      <c r="L148" s="92">
        <f>SUMIFS(Tabel_VAS2023[aantal_VAS],Tabel_VAS2023[Zaakcode],Tabel_prc_2023[[#This Row],[Zaakcode]],Tabel_VAS2023[Adviesofprocedure],"prc",Tabel_VAS2023[code_punten_forfait],16)</f>
        <v>6</v>
      </c>
      <c r="M148" s="35">
        <f>IFERROR(INDEX(Tabel_forfaits[forfait vanaf 2022],MATCH(Tabel_prc_2023[[#This Row],[Zaakcode]],Tabel_forfaits[Zaakcode],0)), "n.v.t.")</f>
        <v>7</v>
      </c>
      <c r="N148" s="35">
        <f>IFERROR(INDEX(Tabel_forfaits[forfait VdM II voor berekening],MATCH(Tabel_prc_2023[[#This Row],[Zaakcode]],Tabel_forfaits[Zaakcode],0)), "n.v.t.")</f>
        <v>8</v>
      </c>
      <c r="O148" s="36"/>
      <c r="P148"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799</v>
      </c>
      <c r="Q148"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63</v>
      </c>
      <c r="R148"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12</v>
      </c>
      <c r="S148" s="35">
        <f>IF(Tabel_prc_2023[[#This Row],[procedure - forfait VdM II]]="n.v.t.",0,  Tabel_prc_2023[[#This Row],[procedure - aantal 0 punten]] * (Tabel_prc_2023[[#This Row],[procedure - forfait VdM II]] - Tabel_prc_2023[[#This Row],[procedure - forfait VdM I]]))</f>
        <v>0</v>
      </c>
      <c r="T148"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870</v>
      </c>
      <c r="U148"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874</v>
      </c>
      <c r="V148" s="109">
        <f>Tabel_prc_2023[[#This Row],[procedure - totaal extra punten toev. VdM II t.o.v. huidig]] * tarief_huidig</f>
        <v>133831.68699999998</v>
      </c>
    </row>
    <row r="149" spans="1:22" x14ac:dyDescent="0.3">
      <c r="A149"/>
      <c r="B149" s="1" t="s">
        <v>144</v>
      </c>
      <c r="C149" s="34" t="s">
        <v>5</v>
      </c>
      <c r="D149"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32</v>
      </c>
      <c r="E149"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266</v>
      </c>
      <c r="F149" s="91">
        <f>SUMIFS(Tabel_VAS2023[aantal_VAS],Tabel_VAS2023[Zaakcode],Tabel_prc_2023[[#This Row],[Zaakcode]],Tabel_VAS2023[Adviesofprocedure],"prc",Tabel_VAS2023[code_punten_forfait],10)</f>
        <v>0</v>
      </c>
      <c r="G149" s="91">
        <f>SUMIFS(Tabel_VAS2023[aantal_VAS],Tabel_VAS2023[Zaakcode],Tabel_prc_2023[[#This Row],[Zaakcode]],Tabel_VAS2023[Adviesofprocedure],"prc",Tabel_VAS2023[code_punten_forfait],11)</f>
        <v>6</v>
      </c>
      <c r="H149" s="92">
        <f>SUMIFS(Tabel_VAS2023[aantal_VAS],Tabel_VAS2023[Zaakcode],Tabel_prc_2023[[#This Row],[Zaakcode]],Tabel_VAS2023[Adviesofprocedure],"prc",Tabel_VAS2023[code_punten_forfait],13)</f>
        <v>1</v>
      </c>
      <c r="I149" s="92">
        <f>SUMIFS(Tabel_VAS2023[aantal_VAS],Tabel_VAS2023[Zaakcode],Tabel_prc_2023[[#This Row],[Zaakcode]],Tabel_VAS2023[Adviesofprocedure],"prc",Tabel_VAS2023[code_punten_forfait],14)</f>
        <v>0</v>
      </c>
      <c r="J149" s="91">
        <f>SUMIFS(Tabel_VAS2023[aantal_VAS],Tabel_VAS2023[Zaakcode],Tabel_prc_2023[[#This Row],[Zaakcode]],Tabel_VAS2023[Adviesofprocedure],"prc",Tabel_VAS2023[code_punten_forfait],12)</f>
        <v>22</v>
      </c>
      <c r="K149" s="92">
        <f>SUMIFS(Tabel_VAS2023[aantal_VAS],Tabel_VAS2023[Zaakcode],Tabel_prc_2023[[#This Row],[Zaakcode]],Tabel_VAS2023[Adviesofprocedure],"prc",Tabel_VAS2023[code_punten_forfait],15)</f>
        <v>3</v>
      </c>
      <c r="L149" s="92">
        <f>SUMIFS(Tabel_VAS2023[aantal_VAS],Tabel_VAS2023[Zaakcode],Tabel_prc_2023[[#This Row],[Zaakcode]],Tabel_VAS2023[Adviesofprocedure],"prc",Tabel_VAS2023[code_punten_forfait],16)</f>
        <v>0</v>
      </c>
      <c r="M149" s="35">
        <f>IFERROR(INDEX(Tabel_forfaits[forfait vanaf 2022],MATCH(Tabel_prc_2023[[#This Row],[Zaakcode]],Tabel_forfaits[Zaakcode],0)), "n.v.t.")</f>
        <v>9</v>
      </c>
      <c r="N149" s="35">
        <f>IFERROR(INDEX(Tabel_forfaits[forfait VdM II voor berekening],MATCH(Tabel_prc_2023[[#This Row],[Zaakcode]],Tabel_forfaits[Zaakcode],0)), "n.v.t.")</f>
        <v>9</v>
      </c>
      <c r="O149" s="36"/>
      <c r="P149"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49"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49"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49" s="35">
        <f>IF(Tabel_prc_2023[[#This Row],[procedure - forfait VdM II]]="n.v.t.",0,  Tabel_prc_2023[[#This Row],[procedure - aantal 0 punten]] * (Tabel_prc_2023[[#This Row],[procedure - forfait VdM II]] - Tabel_prc_2023[[#This Row],[procedure - forfait VdM I]]))</f>
        <v>0</v>
      </c>
      <c r="T149"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32</v>
      </c>
      <c r="U149"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49" s="109">
        <f>Tabel_prc_2023[[#This Row],[procedure - totaal extra punten toev. VdM II t.o.v. huidig]] * tarief_huidig</f>
        <v>0</v>
      </c>
    </row>
    <row r="150" spans="1:22" x14ac:dyDescent="0.3">
      <c r="A150"/>
      <c r="B150" s="1" t="s">
        <v>145</v>
      </c>
      <c r="C150" s="34" t="s">
        <v>5</v>
      </c>
      <c r="D150"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1222</v>
      </c>
      <c r="E150"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6687.4000000000005</v>
      </c>
      <c r="F150" s="91">
        <f>SUMIFS(Tabel_VAS2023[aantal_VAS],Tabel_VAS2023[Zaakcode],Tabel_prc_2023[[#This Row],[Zaakcode]],Tabel_VAS2023[Adviesofprocedure],"prc",Tabel_VAS2023[code_punten_forfait],10)</f>
        <v>0</v>
      </c>
      <c r="G150" s="91">
        <f>SUMIFS(Tabel_VAS2023[aantal_VAS],Tabel_VAS2023[Zaakcode],Tabel_prc_2023[[#This Row],[Zaakcode]],Tabel_VAS2023[Adviesofprocedure],"prc",Tabel_VAS2023[code_punten_forfait],11)</f>
        <v>266</v>
      </c>
      <c r="H150" s="92">
        <f>SUMIFS(Tabel_VAS2023[aantal_VAS],Tabel_VAS2023[Zaakcode],Tabel_prc_2023[[#This Row],[Zaakcode]],Tabel_VAS2023[Adviesofprocedure],"prc",Tabel_VAS2023[code_punten_forfait],13)</f>
        <v>7</v>
      </c>
      <c r="I150" s="92">
        <f>SUMIFS(Tabel_VAS2023[aantal_VAS],Tabel_VAS2023[Zaakcode],Tabel_prc_2023[[#This Row],[Zaakcode]],Tabel_VAS2023[Adviesofprocedure],"prc",Tabel_VAS2023[code_punten_forfait],14)</f>
        <v>35</v>
      </c>
      <c r="J150" s="91">
        <f>SUMIFS(Tabel_VAS2023[aantal_VAS],Tabel_VAS2023[Zaakcode],Tabel_prc_2023[[#This Row],[Zaakcode]],Tabel_VAS2023[Adviesofprocedure],"prc",Tabel_VAS2023[code_punten_forfait],12)</f>
        <v>795</v>
      </c>
      <c r="K150" s="92">
        <f>SUMIFS(Tabel_VAS2023[aantal_VAS],Tabel_VAS2023[Zaakcode],Tabel_prc_2023[[#This Row],[Zaakcode]],Tabel_VAS2023[Adviesofprocedure],"prc",Tabel_VAS2023[code_punten_forfait],15)</f>
        <v>74</v>
      </c>
      <c r="L150" s="92">
        <f>SUMIFS(Tabel_VAS2023[aantal_VAS],Tabel_VAS2023[Zaakcode],Tabel_prc_2023[[#This Row],[Zaakcode]],Tabel_VAS2023[Adviesofprocedure],"prc",Tabel_VAS2023[code_punten_forfait],16)</f>
        <v>45</v>
      </c>
      <c r="M150" s="35">
        <f>IFERROR(INDEX(Tabel_forfaits[forfait vanaf 2022],MATCH(Tabel_prc_2023[[#This Row],[Zaakcode]],Tabel_forfaits[Zaakcode],0)), "n.v.t.")</f>
        <v>6</v>
      </c>
      <c r="N150" s="35">
        <f>IFERROR(INDEX(Tabel_forfaits[forfait VdM II voor berekening],MATCH(Tabel_prc_2023[[#This Row],[Zaakcode]],Tabel_forfaits[Zaakcode],0)), "n.v.t.")</f>
        <v>7</v>
      </c>
      <c r="O150" s="36"/>
      <c r="P150"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1061</v>
      </c>
      <c r="Q150"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81</v>
      </c>
      <c r="R150"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120</v>
      </c>
      <c r="S150" s="35">
        <f>IF(Tabel_prc_2023[[#This Row],[procedure - forfait VdM II]]="n.v.t.",0,  Tabel_prc_2023[[#This Row],[procedure - aantal 0 punten]] * (Tabel_prc_2023[[#This Row],[procedure - forfait VdM II]] - Tabel_prc_2023[[#This Row],[procedure - forfait VdM I]]))</f>
        <v>0</v>
      </c>
      <c r="T150"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1222</v>
      </c>
      <c r="U150"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1262</v>
      </c>
      <c r="V150" s="109">
        <f>Tabel_prc_2023[[#This Row],[procedure - totaal extra punten toev. VdM II t.o.v. huidig]] * tarief_huidig</f>
        <v>193244.38099999999</v>
      </c>
    </row>
    <row r="151" spans="1:22" x14ac:dyDescent="0.3">
      <c r="A151"/>
      <c r="B151" s="1" t="s">
        <v>146</v>
      </c>
      <c r="C151" s="34" t="s">
        <v>5</v>
      </c>
      <c r="D151"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1294</v>
      </c>
      <c r="E151"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7449</v>
      </c>
      <c r="F151" s="91">
        <f>SUMIFS(Tabel_VAS2023[aantal_VAS],Tabel_VAS2023[Zaakcode],Tabel_prc_2023[[#This Row],[Zaakcode]],Tabel_VAS2023[Adviesofprocedure],"prc",Tabel_VAS2023[code_punten_forfait],10)</f>
        <v>0</v>
      </c>
      <c r="G151" s="91">
        <f>SUMIFS(Tabel_VAS2023[aantal_VAS],Tabel_VAS2023[Zaakcode],Tabel_prc_2023[[#This Row],[Zaakcode]],Tabel_VAS2023[Adviesofprocedure],"prc",Tabel_VAS2023[code_punten_forfait],11)</f>
        <v>120</v>
      </c>
      <c r="H151" s="92">
        <f>SUMIFS(Tabel_VAS2023[aantal_VAS],Tabel_VAS2023[Zaakcode],Tabel_prc_2023[[#This Row],[Zaakcode]],Tabel_VAS2023[Adviesofprocedure],"prc",Tabel_VAS2023[code_punten_forfait],13)</f>
        <v>4</v>
      </c>
      <c r="I151" s="92">
        <f>SUMIFS(Tabel_VAS2023[aantal_VAS],Tabel_VAS2023[Zaakcode],Tabel_prc_2023[[#This Row],[Zaakcode]],Tabel_VAS2023[Adviesofprocedure],"prc",Tabel_VAS2023[code_punten_forfait],14)</f>
        <v>4</v>
      </c>
      <c r="J151" s="91">
        <f>SUMIFS(Tabel_VAS2023[aantal_VAS],Tabel_VAS2023[Zaakcode],Tabel_prc_2023[[#This Row],[Zaakcode]],Tabel_VAS2023[Adviesofprocedure],"prc",Tabel_VAS2023[code_punten_forfait],12)</f>
        <v>1062</v>
      </c>
      <c r="K151" s="92">
        <f>SUMIFS(Tabel_VAS2023[aantal_VAS],Tabel_VAS2023[Zaakcode],Tabel_prc_2023[[#This Row],[Zaakcode]],Tabel_VAS2023[Adviesofprocedure],"prc",Tabel_VAS2023[code_punten_forfait],15)</f>
        <v>85</v>
      </c>
      <c r="L151" s="92">
        <f>SUMIFS(Tabel_VAS2023[aantal_VAS],Tabel_VAS2023[Zaakcode],Tabel_prc_2023[[#This Row],[Zaakcode]],Tabel_VAS2023[Adviesofprocedure],"prc",Tabel_VAS2023[code_punten_forfait],16)</f>
        <v>19</v>
      </c>
      <c r="M151" s="35">
        <f>IFERROR(INDEX(Tabel_forfaits[forfait vanaf 2022],MATCH(Tabel_prc_2023[[#This Row],[Zaakcode]],Tabel_forfaits[Zaakcode],0)), "n.v.t.")</f>
        <v>6</v>
      </c>
      <c r="N151" s="35">
        <f>IFERROR(INDEX(Tabel_forfaits[forfait VdM II voor berekening],MATCH(Tabel_prc_2023[[#This Row],[Zaakcode]],Tabel_forfaits[Zaakcode],0)), "n.v.t.")</f>
        <v>7</v>
      </c>
      <c r="O151" s="36"/>
      <c r="P151"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1182</v>
      </c>
      <c r="Q151"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89</v>
      </c>
      <c r="R151"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34.5</v>
      </c>
      <c r="S151" s="35">
        <f>IF(Tabel_prc_2023[[#This Row],[procedure - forfait VdM II]]="n.v.t.",0,  Tabel_prc_2023[[#This Row],[procedure - aantal 0 punten]] * (Tabel_prc_2023[[#This Row],[procedure - forfait VdM II]] - Tabel_prc_2023[[#This Row],[procedure - forfait VdM I]]))</f>
        <v>0</v>
      </c>
      <c r="T151"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1294</v>
      </c>
      <c r="U151"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1305.5</v>
      </c>
      <c r="V151" s="109">
        <f>Tabel_prc_2023[[#This Row],[procedure - totaal extra punten toev. VdM II t.o.v. huidig]] * tarief_huidig</f>
        <v>199905.34024999998</v>
      </c>
    </row>
    <row r="152" spans="1:22" x14ac:dyDescent="0.3">
      <c r="B152" s="1" t="s">
        <v>147</v>
      </c>
      <c r="C152" s="34" t="s">
        <v>5</v>
      </c>
      <c r="D152"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53</v>
      </c>
      <c r="E152"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315</v>
      </c>
      <c r="F152" s="91">
        <f>SUMIFS(Tabel_VAS2023[aantal_VAS],Tabel_VAS2023[Zaakcode],Tabel_prc_2023[[#This Row],[Zaakcode]],Tabel_VAS2023[Adviesofprocedure],"prc",Tabel_VAS2023[code_punten_forfait],10)</f>
        <v>0</v>
      </c>
      <c r="G152" s="91">
        <f>SUMIFS(Tabel_VAS2023[aantal_VAS],Tabel_VAS2023[Zaakcode],Tabel_prc_2023[[#This Row],[Zaakcode]],Tabel_VAS2023[Adviesofprocedure],"prc",Tabel_VAS2023[code_punten_forfait],11)</f>
        <v>4</v>
      </c>
      <c r="H152" s="92">
        <f>SUMIFS(Tabel_VAS2023[aantal_VAS],Tabel_VAS2023[Zaakcode],Tabel_prc_2023[[#This Row],[Zaakcode]],Tabel_VAS2023[Adviesofprocedure],"prc",Tabel_VAS2023[code_punten_forfait],13)</f>
        <v>0</v>
      </c>
      <c r="I152" s="92">
        <f>SUMIFS(Tabel_VAS2023[aantal_VAS],Tabel_VAS2023[Zaakcode],Tabel_prc_2023[[#This Row],[Zaakcode]],Tabel_VAS2023[Adviesofprocedure],"prc",Tabel_VAS2023[code_punten_forfait],14)</f>
        <v>0</v>
      </c>
      <c r="J152" s="91">
        <f>SUMIFS(Tabel_VAS2023[aantal_VAS],Tabel_VAS2023[Zaakcode],Tabel_prc_2023[[#This Row],[Zaakcode]],Tabel_VAS2023[Adviesofprocedure],"prc",Tabel_VAS2023[code_punten_forfait],12)</f>
        <v>38</v>
      </c>
      <c r="K152" s="92">
        <f>SUMIFS(Tabel_VAS2023[aantal_VAS],Tabel_VAS2023[Zaakcode],Tabel_prc_2023[[#This Row],[Zaakcode]],Tabel_VAS2023[Adviesofprocedure],"prc",Tabel_VAS2023[code_punten_forfait],15)</f>
        <v>7</v>
      </c>
      <c r="L152" s="92">
        <f>SUMIFS(Tabel_VAS2023[aantal_VAS],Tabel_VAS2023[Zaakcode],Tabel_prc_2023[[#This Row],[Zaakcode]],Tabel_VAS2023[Adviesofprocedure],"prc",Tabel_VAS2023[code_punten_forfait],16)</f>
        <v>4</v>
      </c>
      <c r="M152" s="35">
        <f>IFERROR(INDEX(Tabel_forfaits[forfait vanaf 2022],MATCH(Tabel_prc_2023[[#This Row],[Zaakcode]],Tabel_forfaits[Zaakcode],0)), "n.v.t.")</f>
        <v>6</v>
      </c>
      <c r="N152" s="35">
        <f>IFERROR(INDEX(Tabel_forfaits[forfait VdM II voor berekening],MATCH(Tabel_prc_2023[[#This Row],[Zaakcode]],Tabel_forfaits[Zaakcode],0)), "n.v.t.")</f>
        <v>6</v>
      </c>
      <c r="O152" s="36"/>
      <c r="P152"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52"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52"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52" s="35">
        <f>IF(Tabel_prc_2023[[#This Row],[procedure - forfait VdM II]]="n.v.t.",0,  Tabel_prc_2023[[#This Row],[procedure - aantal 0 punten]] * (Tabel_prc_2023[[#This Row],[procedure - forfait VdM II]] - Tabel_prc_2023[[#This Row],[procedure - forfait VdM I]]))</f>
        <v>0</v>
      </c>
      <c r="T152"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53</v>
      </c>
      <c r="U152"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52" s="109">
        <f>Tabel_prc_2023[[#This Row],[procedure - totaal extra punten toev. VdM II t.o.v. huidig]] * tarief_huidig</f>
        <v>0</v>
      </c>
    </row>
    <row r="153" spans="1:22" x14ac:dyDescent="0.3">
      <c r="B153" s="1" t="s">
        <v>148</v>
      </c>
      <c r="C153" s="34" t="s">
        <v>5</v>
      </c>
      <c r="D153"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96</v>
      </c>
      <c r="E153"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558.5</v>
      </c>
      <c r="F153" s="91">
        <f>SUMIFS(Tabel_VAS2023[aantal_VAS],Tabel_VAS2023[Zaakcode],Tabel_prc_2023[[#This Row],[Zaakcode]],Tabel_VAS2023[Adviesofprocedure],"prc",Tabel_VAS2023[code_punten_forfait],10)</f>
        <v>1</v>
      </c>
      <c r="G153" s="91">
        <f>SUMIFS(Tabel_VAS2023[aantal_VAS],Tabel_VAS2023[Zaakcode],Tabel_prc_2023[[#This Row],[Zaakcode]],Tabel_VAS2023[Adviesofprocedure],"prc",Tabel_VAS2023[code_punten_forfait],11)</f>
        <v>15</v>
      </c>
      <c r="H153" s="92">
        <f>SUMIFS(Tabel_VAS2023[aantal_VAS],Tabel_VAS2023[Zaakcode],Tabel_prc_2023[[#This Row],[Zaakcode]],Tabel_VAS2023[Adviesofprocedure],"prc",Tabel_VAS2023[code_punten_forfait],13)</f>
        <v>0</v>
      </c>
      <c r="I153" s="92">
        <f>SUMIFS(Tabel_VAS2023[aantal_VAS],Tabel_VAS2023[Zaakcode],Tabel_prc_2023[[#This Row],[Zaakcode]],Tabel_VAS2023[Adviesofprocedure],"prc",Tabel_VAS2023[code_punten_forfait],14)</f>
        <v>0</v>
      </c>
      <c r="J153" s="91">
        <f>SUMIFS(Tabel_VAS2023[aantal_VAS],Tabel_VAS2023[Zaakcode],Tabel_prc_2023[[#This Row],[Zaakcode]],Tabel_VAS2023[Adviesofprocedure],"prc",Tabel_VAS2023[code_punten_forfait],12)</f>
        <v>55</v>
      </c>
      <c r="K153" s="92">
        <f>SUMIFS(Tabel_VAS2023[aantal_VAS],Tabel_VAS2023[Zaakcode],Tabel_prc_2023[[#This Row],[Zaakcode]],Tabel_VAS2023[Adviesofprocedure],"prc",Tabel_VAS2023[code_punten_forfait],15)</f>
        <v>12</v>
      </c>
      <c r="L153" s="92">
        <f>SUMIFS(Tabel_VAS2023[aantal_VAS],Tabel_VAS2023[Zaakcode],Tabel_prc_2023[[#This Row],[Zaakcode]],Tabel_VAS2023[Adviesofprocedure],"prc",Tabel_VAS2023[code_punten_forfait],16)</f>
        <v>13</v>
      </c>
      <c r="M153" s="35">
        <f>IFERROR(INDEX(Tabel_forfaits[forfait vanaf 2022],MATCH(Tabel_prc_2023[[#This Row],[Zaakcode]],Tabel_forfaits[Zaakcode],0)), "n.v.t.")</f>
        <v>6</v>
      </c>
      <c r="N153" s="35">
        <f>IFERROR(INDEX(Tabel_forfaits[forfait VdM II voor berekening],MATCH(Tabel_prc_2023[[#This Row],[Zaakcode]],Tabel_forfaits[Zaakcode],0)), "n.v.t.")</f>
        <v>6</v>
      </c>
      <c r="O153" s="36"/>
      <c r="P153"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0</v>
      </c>
      <c r="Q153"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0</v>
      </c>
      <c r="R153"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53" s="35">
        <f>IF(Tabel_prc_2023[[#This Row],[procedure - forfait VdM II]]="n.v.t.",0,  Tabel_prc_2023[[#This Row],[procedure - aantal 0 punten]] * (Tabel_prc_2023[[#This Row],[procedure - forfait VdM II]] - Tabel_prc_2023[[#This Row],[procedure - forfait VdM I]]))</f>
        <v>0</v>
      </c>
      <c r="T153"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95</v>
      </c>
      <c r="U153" s="116">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0</v>
      </c>
      <c r="V153" s="109">
        <f>Tabel_prc_2023[[#This Row],[procedure - totaal extra punten toev. VdM II t.o.v. huidig]] * tarief_huidig</f>
        <v>0</v>
      </c>
    </row>
    <row r="154" spans="1:22" ht="13.5" thickBot="1" x14ac:dyDescent="0.35">
      <c r="B154" s="1" t="s">
        <v>149</v>
      </c>
      <c r="C154" s="34" t="s">
        <v>5</v>
      </c>
      <c r="D154" s="91">
        <f>SUMIFS(Tabel_VAS2023[aantal_VAS],Tabel_VAS2023[Zaakcode],Tabel_prc_2023[[#This Row],[Zaakcode]],Tabel_VAS2023[Adviesofprocedure],"prc") - SUMIFS(Tabel_VAS2023[aantal_VAS],Tabel_VAS2023[Zaakcode],Tabel_prc_2023[[#This Row],[Zaakcode]],Tabel_VAS2023[Adviesofprocedure],"prc",Tabel_VAS2023[code_punten_forfait],0)  - SUMIFS(Tabel_VAS2023[aantal_VAS],Tabel_VAS2023[Zaakcode],Tabel_prc_2023[[#This Row],[Zaakcode]],Tabel_VAS2023[Adviesofprocedure],"prc",Tabel_VAS2023[code_punten_forfait],98)</f>
        <v>591</v>
      </c>
      <c r="E154" s="91">
        <f>SUMIFS(Tabel_VAS2023[puntenbasis_SOM],Tabel_VAS2023[Zaakcode],Tabel_prc_2023[[#This Row],[Zaakcode]],Tabel_VAS2023[Adviesofprocedure],"prc") - SUMIFS(Tabel_VAS2023[puntenbasis_SOM],Tabel_VAS2023[Zaakcode],Tabel_prc_2023[[#This Row],[Zaakcode]],Tabel_VAS2023[Adviesofprocedure],"prc",Tabel_VAS2023[code_punten_forfait],0) - SUMIFS(Tabel_VAS2023[puntenbasis_SOM],Tabel_VAS2023[Zaakcode],Tabel_prc_2023[[#This Row],[Zaakcode]],Tabel_VAS2023[Adviesofprocedure],"prc",Tabel_VAS2023[code_punten_forfait],98)</f>
        <v>2856</v>
      </c>
      <c r="F154" s="91">
        <f>SUMIFS(Tabel_VAS2023[aantal_VAS],Tabel_VAS2023[Zaakcode],Tabel_prc_2023[[#This Row],[Zaakcode]],Tabel_VAS2023[Adviesofprocedure],"prc",Tabel_VAS2023[code_punten_forfait],10)</f>
        <v>0</v>
      </c>
      <c r="G154" s="91">
        <f>SUMIFS(Tabel_VAS2023[aantal_VAS],Tabel_VAS2023[Zaakcode],Tabel_prc_2023[[#This Row],[Zaakcode]],Tabel_VAS2023[Adviesofprocedure],"prc",Tabel_VAS2023[code_punten_forfait],11)</f>
        <v>47</v>
      </c>
      <c r="H154" s="92">
        <f>SUMIFS(Tabel_VAS2023[aantal_VAS],Tabel_VAS2023[Zaakcode],Tabel_prc_2023[[#This Row],[Zaakcode]],Tabel_VAS2023[Adviesofprocedure],"prc",Tabel_VAS2023[code_punten_forfait],13)</f>
        <v>0</v>
      </c>
      <c r="I154" s="92">
        <f>SUMIFS(Tabel_VAS2023[aantal_VAS],Tabel_VAS2023[Zaakcode],Tabel_prc_2023[[#This Row],[Zaakcode]],Tabel_VAS2023[Adviesofprocedure],"prc",Tabel_VAS2023[code_punten_forfait],14)</f>
        <v>0</v>
      </c>
      <c r="J154" s="91">
        <f>SUMIFS(Tabel_VAS2023[aantal_VAS],Tabel_VAS2023[Zaakcode],Tabel_prc_2023[[#This Row],[Zaakcode]],Tabel_VAS2023[Adviesofprocedure],"prc",Tabel_VAS2023[code_punten_forfait],12)</f>
        <v>542</v>
      </c>
      <c r="K154" s="92">
        <f>SUMIFS(Tabel_VAS2023[aantal_VAS],Tabel_VAS2023[Zaakcode],Tabel_prc_2023[[#This Row],[Zaakcode]],Tabel_VAS2023[Adviesofprocedure],"prc",Tabel_VAS2023[code_punten_forfait],15)</f>
        <v>2</v>
      </c>
      <c r="L154" s="92">
        <f>SUMIFS(Tabel_VAS2023[aantal_VAS],Tabel_VAS2023[Zaakcode],Tabel_prc_2023[[#This Row],[Zaakcode]],Tabel_VAS2023[Adviesofprocedure],"prc",Tabel_VAS2023[code_punten_forfait],16)</f>
        <v>0</v>
      </c>
      <c r="M154" s="35">
        <f>IFERROR(INDEX(Tabel_forfaits[forfait vanaf 2022],MATCH(Tabel_prc_2023[[#This Row],[Zaakcode]],Tabel_forfaits[Zaakcode],0)), "n.v.t.")</f>
        <v>5</v>
      </c>
      <c r="N154" s="35">
        <f>IFERROR(INDEX(Tabel_forfaits[forfait VdM II voor berekening],MATCH(Tabel_prc_2023[[#This Row],[Zaakcode]],Tabel_forfaits[Zaakcode],0)), "n.v.t.")</f>
        <v>6</v>
      </c>
      <c r="O154" s="36"/>
      <c r="P154" s="35">
        <f>IF(Tabel_prc_2023[[#This Row],[procedure - forfait VdM II]]="n.v.t.",0,  (Tabel_prc_2023[[#This Row],[procedure - voor 2022, aantal op forfait]] + Tabel_prc_2023[[#This Row],[procedure - vanaf 2022, aantal op forfait]]) * (Tabel_prc_2023[[#This Row],[procedure - forfait VdM II]] - Tabel_prc_2023[[#This Row],[procedure - forfait VdM I]]))</f>
        <v>589</v>
      </c>
      <c r="Q154" s="35">
        <f>IF(Tabel_prc_2023[[#This Row],[procedure - forfait VdM II]]="n.v.t.",0,  (Tabel_prc_2023[[#This Row],[procedure - voor 2022, aantal onder forfait]] + Tabel_prc_2023[[#This Row],[procedure - vanaf 2022, aantal onder forfait]]) * (Tabel_prc_2023[[#This Row],[procedure - forfait VdM II]] - Tabel_prc_2023[[#This Row],[procedure - forfait VdM I]]))</f>
        <v>2</v>
      </c>
      <c r="R154" s="35">
        <f>IF(Tabel_prc_2023[[#This Row],[procedure - forfait VdM II]]="n.v.t.",0,  (Tabel_prc_2023[[#This Row],[procedure - voor 2022, aantal boven forfait]] + Tabel_prc_2023[[#This Row],[procedure - vanaf 2022, aantal boven forfait]]) * (Tabel_prc_2023[[#This Row],[procedure - forfait VdM II]] - Tabel_prc_2023[[#This Row],[procedure - forfait VdM I]]) * factor_samenhang)</f>
        <v>0</v>
      </c>
      <c r="S154" s="35">
        <f>IF(Tabel_prc_2023[[#This Row],[procedure - forfait VdM II]]="n.v.t.",0,  Tabel_prc_2023[[#This Row],[procedure - aantal 0 punten]] * (Tabel_prc_2023[[#This Row],[procedure - forfait VdM II]] - Tabel_prc_2023[[#This Row],[procedure - forfait VdM I]]))</f>
        <v>0</v>
      </c>
      <c r="T154" s="115">
        <f>(Tabel_prc_2023[[#This Row],[procedure - voor 2022, aantal op forfait]]+Tabel_prc_2023[[#This Row],[procedure - vanaf 2022, aantal op forfait]])*knop_op_forfait  +  (Tabel_prc_2023[[#This Row],[procedure - voor 2022, aantal onder forfait]]+Tabel_prc_2023[[#This Row],[procedure - vanaf 2022, aantal onder forfait]])*knop_onder_forfait  +  (Tabel_prc_2023[[#This Row],[procedure - voor 2022, aantal boven forfait]]+Tabel_prc_2023[[#This Row],[procedure - vanaf 2022, aantal boven forfait]])*knop_boven_forfait  +  Tabel_prc_2023[[#This Row],[procedure - aantal 0 punten]]*knop_nul_forfait</f>
        <v>591</v>
      </c>
      <c r="U154" s="117">
        <f>Tabel_prc_2023[[#This Row],[procedure - max extra punten toev. op forfait]]*knop_op_forfait  +  Tabel_prc_2023[[#This Row],[procedure - max extra punten toev. onder forfait]]*knop_onder_forfait  +  Tabel_prc_2023[[#This Row],[procedure - max extra punten toev. boven forfait]]*knop_boven_forfait  +  Tabel_prc_2023[[#This Row],[procedure - max extra punten toev. nul forfait]]*knop_nul_forfait</f>
        <v>591</v>
      </c>
      <c r="V154" s="110">
        <f>Tabel_prc_2023[[#This Row],[procedure - totaal extra punten toev. VdM II t.o.v. huidig]] * tarief_huidig</f>
        <v>90497.170499999993</v>
      </c>
    </row>
    <row r="156" spans="1:22" x14ac:dyDescent="0.3">
      <c r="B156" s="1" t="s">
        <v>150</v>
      </c>
      <c r="D156" s="91">
        <f>SUM(Tabel_prc_2023[procedure - aantal vastgesteld])</f>
        <v>250432</v>
      </c>
      <c r="E156" s="91">
        <f>SUM(Tabel_prc_2023[procedure - aantal basispunten vastgesteld])</f>
        <v>1979199.2999999998</v>
      </c>
      <c r="F156" s="91">
        <f>SUM(Tabel_prc_2023[procedure - aantal 0 punten])</f>
        <v>604</v>
      </c>
      <c r="G156" s="91">
        <f>SUM(Tabel_prc_2023[procedure - voor 2022, aantal op forfait])</f>
        <v>32496</v>
      </c>
      <c r="H156" s="91"/>
      <c r="I156" s="91">
        <f>SUM(Tabel_prc_2023[procedure - voor 2022, aantal onder forfait])</f>
        <v>2175</v>
      </c>
      <c r="J156" s="91"/>
      <c r="K156" s="91">
        <f>SUM(Tabel_prc_2023[procedure - voor 2022, aantal boven forfait])</f>
        <v>1346</v>
      </c>
      <c r="L156" s="91"/>
      <c r="M156" s="91">
        <f>SUM(Tabel_prc_2023[procedure - vanaf 2022, aantal op forfait])</f>
        <v>194909</v>
      </c>
      <c r="N156" s="91"/>
      <c r="O156" s="91">
        <f>SUM(Tabel_prc_2023[procedure - vanaf 2022, aantal onder forfait])</f>
        <v>12865</v>
      </c>
      <c r="P156" s="91"/>
      <c r="Q156" s="91">
        <f>SUM(Tabel_prc_2023[procedure - vanaf 2022, aantal boven forfait])</f>
        <v>6037</v>
      </c>
    </row>
    <row r="159" spans="1:22" ht="13.5" thickBot="1" x14ac:dyDescent="0.35">
      <c r="B159" s="19" t="s">
        <v>151</v>
      </c>
    </row>
    <row r="160" spans="1:22" x14ac:dyDescent="0.3">
      <c r="B160" s="6"/>
      <c r="C160" s="7"/>
      <c r="D160" s="392" t="s">
        <v>152</v>
      </c>
      <c r="E160" s="392"/>
      <c r="F160" s="392"/>
      <c r="G160" s="392"/>
      <c r="H160" s="392"/>
      <c r="I160" s="392"/>
      <c r="J160" s="393"/>
    </row>
    <row r="161" spans="2:11" x14ac:dyDescent="0.3">
      <c r="B161" s="8" t="s">
        <v>153</v>
      </c>
      <c r="C161" s="5" t="s">
        <v>154</v>
      </c>
      <c r="D161" s="16" t="s">
        <v>155</v>
      </c>
      <c r="E161" s="16" t="s">
        <v>156</v>
      </c>
      <c r="F161" s="16" t="s">
        <v>157</v>
      </c>
      <c r="G161" s="16" t="s">
        <v>158</v>
      </c>
      <c r="H161" s="16" t="s">
        <v>159</v>
      </c>
      <c r="I161" s="16" t="s">
        <v>160</v>
      </c>
      <c r="J161" s="9" t="s">
        <v>161</v>
      </c>
    </row>
    <row r="162" spans="2:11" x14ac:dyDescent="0.3">
      <c r="B162" s="10" t="s">
        <v>162</v>
      </c>
      <c r="C162" s="14" t="s">
        <v>163</v>
      </c>
      <c r="D162" s="17">
        <v>0</v>
      </c>
      <c r="E162" s="17">
        <v>10</v>
      </c>
      <c r="F162" s="17">
        <v>20</v>
      </c>
      <c r="G162" s="17">
        <v>30</v>
      </c>
      <c r="H162" s="17">
        <v>40</v>
      </c>
      <c r="I162" s="17"/>
      <c r="J162" s="12"/>
    </row>
    <row r="163" spans="2:11" x14ac:dyDescent="0.3">
      <c r="B163" s="10" t="s">
        <v>164</v>
      </c>
      <c r="C163" s="14" t="s">
        <v>165</v>
      </c>
      <c r="D163" s="17"/>
      <c r="E163" s="17">
        <v>11</v>
      </c>
      <c r="F163" s="17">
        <v>21</v>
      </c>
      <c r="G163" s="17">
        <v>31</v>
      </c>
      <c r="H163" s="17">
        <v>41</v>
      </c>
      <c r="I163" s="17"/>
      <c r="J163" s="12"/>
    </row>
    <row r="164" spans="2:11" x14ac:dyDescent="0.3">
      <c r="B164" s="10" t="s">
        <v>166</v>
      </c>
      <c r="C164" s="14" t="s">
        <v>165</v>
      </c>
      <c r="D164" s="17"/>
      <c r="E164" s="17">
        <v>12</v>
      </c>
      <c r="F164" s="17">
        <v>22</v>
      </c>
      <c r="G164" s="17">
        <v>32</v>
      </c>
      <c r="H164" s="17">
        <v>42</v>
      </c>
      <c r="I164" s="17"/>
      <c r="J164" s="12"/>
    </row>
    <row r="165" spans="2:11" x14ac:dyDescent="0.3">
      <c r="B165" s="10" t="s">
        <v>164</v>
      </c>
      <c r="C165" s="14" t="s">
        <v>167</v>
      </c>
      <c r="D165" s="17"/>
      <c r="E165" s="17">
        <v>13</v>
      </c>
      <c r="F165" s="17">
        <v>23</v>
      </c>
      <c r="G165" s="17">
        <v>33</v>
      </c>
      <c r="H165" s="17">
        <v>43</v>
      </c>
      <c r="I165" s="17"/>
      <c r="J165" s="12"/>
    </row>
    <row r="166" spans="2:11" x14ac:dyDescent="0.3">
      <c r="B166" s="10" t="s">
        <v>164</v>
      </c>
      <c r="C166" s="14" t="s">
        <v>168</v>
      </c>
      <c r="D166" s="17"/>
      <c r="E166" s="17">
        <v>14</v>
      </c>
      <c r="F166" s="17">
        <v>24</v>
      </c>
      <c r="G166" s="17">
        <v>34</v>
      </c>
      <c r="H166" s="17">
        <v>44</v>
      </c>
      <c r="I166" s="17"/>
      <c r="J166" s="12"/>
    </row>
    <row r="167" spans="2:11" x14ac:dyDescent="0.3">
      <c r="B167" s="10" t="s">
        <v>166</v>
      </c>
      <c r="C167" s="14" t="s">
        <v>167</v>
      </c>
      <c r="D167" s="17"/>
      <c r="E167" s="17">
        <v>15</v>
      </c>
      <c r="F167" s="17">
        <v>25</v>
      </c>
      <c r="G167" s="17">
        <v>35</v>
      </c>
      <c r="H167" s="17">
        <v>45</v>
      </c>
      <c r="I167" s="17"/>
      <c r="J167" s="12"/>
    </row>
    <row r="168" spans="2:11" x14ac:dyDescent="0.3">
      <c r="B168" s="10" t="s">
        <v>166</v>
      </c>
      <c r="C168" s="14" t="s">
        <v>168</v>
      </c>
      <c r="D168" s="17"/>
      <c r="E168" s="17">
        <v>16</v>
      </c>
      <c r="F168" s="17">
        <v>26</v>
      </c>
      <c r="G168" s="17">
        <v>36</v>
      </c>
      <c r="H168" s="17">
        <v>46</v>
      </c>
      <c r="I168" s="17"/>
      <c r="J168" s="12"/>
    </row>
    <row r="169" spans="2:11" ht="13.5" thickBot="1" x14ac:dyDescent="0.35">
      <c r="B169" s="11" t="s">
        <v>162</v>
      </c>
      <c r="C169" s="15" t="s">
        <v>161</v>
      </c>
      <c r="D169" s="18"/>
      <c r="E169" s="18"/>
      <c r="F169" s="18"/>
      <c r="G169" s="18"/>
      <c r="H169" s="18"/>
      <c r="I169" s="18">
        <v>50</v>
      </c>
      <c r="J169" s="13">
        <v>98</v>
      </c>
      <c r="K169" s="20" t="s">
        <v>169</v>
      </c>
    </row>
    <row r="171" spans="2:11" x14ac:dyDescent="0.3">
      <c r="B171" s="1" t="s">
        <v>170</v>
      </c>
    </row>
    <row r="172" spans="2:11" x14ac:dyDescent="0.3">
      <c r="B172" s="1" t="s">
        <v>171</v>
      </c>
    </row>
    <row r="173" spans="2:11" x14ac:dyDescent="0.3">
      <c r="B173" s="1" t="s">
        <v>172</v>
      </c>
    </row>
    <row r="174" spans="2:11" x14ac:dyDescent="0.3">
      <c r="B174" s="1" t="s">
        <v>173</v>
      </c>
    </row>
    <row r="175" spans="2:11" x14ac:dyDescent="0.3">
      <c r="B175" s="1" t="s">
        <v>174</v>
      </c>
    </row>
    <row r="176" spans="2:11" x14ac:dyDescent="0.3">
      <c r="B176" s="1" t="s">
        <v>175</v>
      </c>
    </row>
    <row r="177" spans="2:2" x14ac:dyDescent="0.3">
      <c r="B177" s="1" t="s">
        <v>176</v>
      </c>
    </row>
    <row r="178" spans="2:2" x14ac:dyDescent="0.3">
      <c r="B178" s="1" t="s">
        <v>177</v>
      </c>
    </row>
  </sheetData>
  <mergeCells count="3">
    <mergeCell ref="D160:J160"/>
    <mergeCell ref="G4:I4"/>
    <mergeCell ref="J4:L4"/>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68C6-90AB-48D8-880D-37500D1F42D2}">
  <sheetPr>
    <tabColor rgb="FFFF0000"/>
  </sheetPr>
  <dimension ref="A1"/>
  <sheetViews>
    <sheetView zoomScaleNormal="100" workbookViewId="0"/>
  </sheetViews>
  <sheetFormatPr defaultRowHeight="12.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366"/>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ColWidth="9.1796875" defaultRowHeight="13" x14ac:dyDescent="0.3"/>
  <cols>
    <col min="1" max="1" width="10.26953125" style="1" customWidth="1"/>
    <col min="2" max="2" width="10" style="1" customWidth="1"/>
    <col min="3" max="3" width="9.81640625" style="1" customWidth="1"/>
    <col min="4" max="5" width="12.1796875" style="1" customWidth="1"/>
    <col min="6" max="6" width="12.1796875" style="90" customWidth="1"/>
    <col min="7" max="27" width="12.1796875" style="1" customWidth="1"/>
    <col min="28" max="16384" width="9.1796875" style="1"/>
  </cols>
  <sheetData>
    <row r="1" spans="1:16" s="4" customFormat="1" ht="26" x14ac:dyDescent="0.3">
      <c r="A1" s="1" t="s">
        <v>0</v>
      </c>
      <c r="B1" s="4" t="s">
        <v>178</v>
      </c>
      <c r="C1" s="4" t="s">
        <v>179</v>
      </c>
      <c r="D1" s="4" t="s">
        <v>180</v>
      </c>
      <c r="E1" s="4" t="s">
        <v>181</v>
      </c>
      <c r="F1" s="308" t="s">
        <v>182</v>
      </c>
      <c r="G1" s="1" t="s">
        <v>694</v>
      </c>
      <c r="I1" s="4" t="s">
        <v>689</v>
      </c>
    </row>
    <row r="2" spans="1:16" x14ac:dyDescent="0.3">
      <c r="A2" s="1" t="s">
        <v>4</v>
      </c>
      <c r="B2" s="1" t="s">
        <v>5</v>
      </c>
      <c r="C2" s="1">
        <v>0</v>
      </c>
      <c r="D2" s="1">
        <v>11</v>
      </c>
      <c r="E2" s="3">
        <v>0</v>
      </c>
      <c r="F2" s="90">
        <v>0</v>
      </c>
    </row>
    <row r="3" spans="1:16" x14ac:dyDescent="0.3">
      <c r="A3" s="1" t="s">
        <v>4</v>
      </c>
      <c r="B3" s="1" t="s">
        <v>5</v>
      </c>
      <c r="C3" s="1">
        <v>98</v>
      </c>
      <c r="D3" s="1">
        <v>1</v>
      </c>
      <c r="E3" s="3">
        <v>8</v>
      </c>
      <c r="F3" s="90">
        <v>8</v>
      </c>
    </row>
    <row r="4" spans="1:16" x14ac:dyDescent="0.3">
      <c r="A4" s="1" t="s">
        <v>6</v>
      </c>
      <c r="B4" s="1" t="s">
        <v>184</v>
      </c>
      <c r="C4" s="1">
        <v>25</v>
      </c>
      <c r="D4" s="1">
        <v>1</v>
      </c>
      <c r="E4" s="3">
        <v>2</v>
      </c>
      <c r="F4" s="90">
        <v>2</v>
      </c>
      <c r="H4" s="19" t="s">
        <v>695</v>
      </c>
    </row>
    <row r="5" spans="1:16" x14ac:dyDescent="0.3">
      <c r="A5" s="1" t="s">
        <v>6</v>
      </c>
      <c r="B5" s="1" t="s">
        <v>183</v>
      </c>
      <c r="C5" s="1">
        <v>32</v>
      </c>
      <c r="D5" s="1">
        <v>2</v>
      </c>
      <c r="E5" s="3">
        <v>20</v>
      </c>
      <c r="F5" s="90">
        <v>10</v>
      </c>
      <c r="H5" s="1" t="s">
        <v>696</v>
      </c>
    </row>
    <row r="6" spans="1:16" x14ac:dyDescent="0.3">
      <c r="A6" s="1" t="s">
        <v>6</v>
      </c>
      <c r="B6" s="1" t="s">
        <v>159</v>
      </c>
      <c r="C6" s="1">
        <v>41</v>
      </c>
      <c r="D6" s="1">
        <v>3</v>
      </c>
      <c r="E6" s="3">
        <v>6</v>
      </c>
      <c r="F6" s="90">
        <v>2</v>
      </c>
      <c r="H6" s="1" t="s">
        <v>697</v>
      </c>
    </row>
    <row r="7" spans="1:16" x14ac:dyDescent="0.3">
      <c r="A7" s="1" t="s">
        <v>6</v>
      </c>
      <c r="B7" s="1" t="s">
        <v>159</v>
      </c>
      <c r="C7" s="1">
        <v>42</v>
      </c>
      <c r="D7" s="1">
        <v>41</v>
      </c>
      <c r="E7" s="3">
        <v>82</v>
      </c>
      <c r="F7" s="90">
        <v>2</v>
      </c>
      <c r="H7" s="1" t="s">
        <v>698</v>
      </c>
    </row>
    <row r="8" spans="1:16" x14ac:dyDescent="0.3">
      <c r="A8" s="1" t="s">
        <v>6</v>
      </c>
      <c r="B8" s="1" t="s">
        <v>5</v>
      </c>
      <c r="C8" s="1">
        <v>0</v>
      </c>
      <c r="D8" s="1">
        <v>2</v>
      </c>
      <c r="E8" s="3">
        <v>0</v>
      </c>
      <c r="F8" s="90">
        <v>0</v>
      </c>
      <c r="H8" s="1" t="s">
        <v>699</v>
      </c>
    </row>
    <row r="9" spans="1:16" x14ac:dyDescent="0.3">
      <c r="A9" s="1" t="s">
        <v>6</v>
      </c>
      <c r="B9" s="1" t="s">
        <v>5</v>
      </c>
      <c r="C9" s="1">
        <v>98</v>
      </c>
      <c r="D9" s="1">
        <v>23</v>
      </c>
      <c r="E9" s="3">
        <v>117.6</v>
      </c>
      <c r="F9" s="90">
        <v>5.1130434782608702</v>
      </c>
      <c r="H9" s="1" t="s">
        <v>700</v>
      </c>
    </row>
    <row r="10" spans="1:16" x14ac:dyDescent="0.3">
      <c r="A10" s="1" t="s">
        <v>7</v>
      </c>
      <c r="B10" s="1" t="s">
        <v>184</v>
      </c>
      <c r="C10" s="1">
        <v>0</v>
      </c>
      <c r="D10" s="1">
        <v>3</v>
      </c>
      <c r="E10" s="3">
        <v>0</v>
      </c>
      <c r="F10" s="90">
        <v>0</v>
      </c>
    </row>
    <row r="11" spans="1:16" x14ac:dyDescent="0.3">
      <c r="A11" s="1" t="s">
        <v>7</v>
      </c>
      <c r="B11" s="1" t="s">
        <v>184</v>
      </c>
      <c r="C11" s="1">
        <v>21</v>
      </c>
      <c r="D11" s="1">
        <v>70</v>
      </c>
      <c r="E11" s="3">
        <v>280</v>
      </c>
      <c r="F11" s="90">
        <v>4</v>
      </c>
    </row>
    <row r="12" spans="1:16" ht="13.5" thickBot="1" x14ac:dyDescent="0.35">
      <c r="A12" s="1" t="s">
        <v>7</v>
      </c>
      <c r="B12" s="1" t="s">
        <v>184</v>
      </c>
      <c r="C12" s="1">
        <v>22</v>
      </c>
      <c r="D12" s="1">
        <v>115</v>
      </c>
      <c r="E12" s="3">
        <v>460</v>
      </c>
      <c r="F12" s="90">
        <v>4</v>
      </c>
      <c r="H12" s="19" t="s">
        <v>701</v>
      </c>
    </row>
    <row r="13" spans="1:16" x14ac:dyDescent="0.3">
      <c r="A13" s="1" t="s">
        <v>7</v>
      </c>
      <c r="B13" s="1" t="s">
        <v>184</v>
      </c>
      <c r="C13" s="1">
        <v>24</v>
      </c>
      <c r="D13" s="1">
        <v>1</v>
      </c>
      <c r="E13" s="3">
        <v>8</v>
      </c>
      <c r="F13" s="90">
        <v>8</v>
      </c>
      <c r="H13" s="6"/>
      <c r="I13" s="7"/>
      <c r="J13" s="392" t="s">
        <v>152</v>
      </c>
      <c r="K13" s="392"/>
      <c r="L13" s="392"/>
      <c r="M13" s="392"/>
      <c r="N13" s="392"/>
      <c r="O13" s="392"/>
      <c r="P13" s="393"/>
    </row>
    <row r="14" spans="1:16" ht="26" x14ac:dyDescent="0.3">
      <c r="A14" s="1" t="s">
        <v>7</v>
      </c>
      <c r="B14" s="1" t="s">
        <v>183</v>
      </c>
      <c r="C14" s="1">
        <v>0</v>
      </c>
      <c r="D14" s="1">
        <v>2</v>
      </c>
      <c r="E14" s="3">
        <v>0</v>
      </c>
      <c r="F14" s="90">
        <v>0</v>
      </c>
      <c r="H14" s="8" t="s">
        <v>153</v>
      </c>
      <c r="I14" s="5" t="s">
        <v>154</v>
      </c>
      <c r="J14" s="113" t="s">
        <v>155</v>
      </c>
      <c r="K14" s="113" t="s">
        <v>156</v>
      </c>
      <c r="L14" s="113" t="s">
        <v>157</v>
      </c>
      <c r="M14" s="113" t="s">
        <v>158</v>
      </c>
      <c r="N14" s="113" t="s">
        <v>159</v>
      </c>
      <c r="O14" s="113" t="s">
        <v>449</v>
      </c>
      <c r="P14" s="114" t="s">
        <v>161</v>
      </c>
    </row>
    <row r="15" spans="1:16" x14ac:dyDescent="0.3">
      <c r="A15" s="1" t="s">
        <v>7</v>
      </c>
      <c r="B15" s="1" t="s">
        <v>183</v>
      </c>
      <c r="C15" s="1">
        <v>31</v>
      </c>
      <c r="D15" s="1">
        <v>277</v>
      </c>
      <c r="E15" s="3">
        <v>2216</v>
      </c>
      <c r="F15" s="90">
        <v>8</v>
      </c>
      <c r="H15" s="10" t="s">
        <v>162</v>
      </c>
      <c r="I15" s="14" t="s">
        <v>163</v>
      </c>
      <c r="J15" s="17">
        <v>0</v>
      </c>
      <c r="K15" s="17">
        <v>10</v>
      </c>
      <c r="L15" s="17">
        <v>20</v>
      </c>
      <c r="M15" s="17">
        <v>30</v>
      </c>
      <c r="N15" s="17">
        <v>40</v>
      </c>
      <c r="O15" s="17"/>
      <c r="P15" s="12"/>
    </row>
    <row r="16" spans="1:16" x14ac:dyDescent="0.3">
      <c r="A16" s="1" t="s">
        <v>7</v>
      </c>
      <c r="B16" s="1" t="s">
        <v>183</v>
      </c>
      <c r="C16" s="1">
        <v>32</v>
      </c>
      <c r="D16" s="1">
        <v>570</v>
      </c>
      <c r="E16" s="3">
        <v>5700</v>
      </c>
      <c r="F16" s="90">
        <v>10</v>
      </c>
      <c r="H16" s="10" t="s">
        <v>164</v>
      </c>
      <c r="I16" s="14" t="s">
        <v>165</v>
      </c>
      <c r="J16" s="17"/>
      <c r="K16" s="17">
        <v>11</v>
      </c>
      <c r="L16" s="17">
        <v>21</v>
      </c>
      <c r="M16" s="17">
        <v>31</v>
      </c>
      <c r="N16" s="17">
        <v>41</v>
      </c>
      <c r="O16" s="17"/>
      <c r="P16" s="12"/>
    </row>
    <row r="17" spans="1:17" x14ac:dyDescent="0.3">
      <c r="A17" s="1" t="s">
        <v>7</v>
      </c>
      <c r="B17" s="1" t="s">
        <v>183</v>
      </c>
      <c r="C17" s="1">
        <v>35</v>
      </c>
      <c r="D17" s="1">
        <v>2</v>
      </c>
      <c r="E17" s="3">
        <v>12</v>
      </c>
      <c r="F17" s="90">
        <v>6</v>
      </c>
      <c r="H17" s="10" t="s">
        <v>166</v>
      </c>
      <c r="I17" s="14" t="s">
        <v>165</v>
      </c>
      <c r="J17" s="17"/>
      <c r="K17" s="17">
        <v>12</v>
      </c>
      <c r="L17" s="17">
        <v>22</v>
      </c>
      <c r="M17" s="17">
        <v>32</v>
      </c>
      <c r="N17" s="17">
        <v>42</v>
      </c>
      <c r="O17" s="17"/>
      <c r="P17" s="12"/>
    </row>
    <row r="18" spans="1:17" x14ac:dyDescent="0.3">
      <c r="A18" s="1" t="s">
        <v>7</v>
      </c>
      <c r="B18" s="1" t="s">
        <v>183</v>
      </c>
      <c r="C18" s="1">
        <v>36</v>
      </c>
      <c r="D18" s="1">
        <v>2</v>
      </c>
      <c r="E18" s="3">
        <v>33</v>
      </c>
      <c r="F18" s="90">
        <v>16.5</v>
      </c>
      <c r="H18" s="10" t="s">
        <v>164</v>
      </c>
      <c r="I18" s="14" t="s">
        <v>167</v>
      </c>
      <c r="J18" s="17"/>
      <c r="K18" s="17">
        <v>13</v>
      </c>
      <c r="L18" s="17">
        <v>23</v>
      </c>
      <c r="M18" s="17">
        <v>33</v>
      </c>
      <c r="N18" s="17">
        <v>43</v>
      </c>
      <c r="O18" s="17"/>
      <c r="P18" s="12"/>
    </row>
    <row r="19" spans="1:17" x14ac:dyDescent="0.3">
      <c r="A19" s="1" t="s">
        <v>7</v>
      </c>
      <c r="B19" s="1" t="s">
        <v>159</v>
      </c>
      <c r="C19" s="1">
        <v>41</v>
      </c>
      <c r="D19" s="1">
        <v>1</v>
      </c>
      <c r="E19" s="3">
        <v>2</v>
      </c>
      <c r="F19" s="90">
        <v>2</v>
      </c>
      <c r="H19" s="10" t="s">
        <v>164</v>
      </c>
      <c r="I19" s="14" t="s">
        <v>168</v>
      </c>
      <c r="J19" s="17"/>
      <c r="K19" s="17">
        <v>14</v>
      </c>
      <c r="L19" s="17">
        <v>24</v>
      </c>
      <c r="M19" s="17">
        <v>34</v>
      </c>
      <c r="N19" s="17">
        <v>44</v>
      </c>
      <c r="O19" s="17"/>
      <c r="P19" s="12"/>
    </row>
    <row r="20" spans="1:17" x14ac:dyDescent="0.3">
      <c r="A20" s="1" t="s">
        <v>7</v>
      </c>
      <c r="B20" s="1" t="s">
        <v>159</v>
      </c>
      <c r="C20" s="1">
        <v>42</v>
      </c>
      <c r="D20" s="1">
        <v>28</v>
      </c>
      <c r="E20" s="3">
        <v>56</v>
      </c>
      <c r="F20" s="90">
        <v>2</v>
      </c>
      <c r="H20" s="10" t="s">
        <v>166</v>
      </c>
      <c r="I20" s="14" t="s">
        <v>167</v>
      </c>
      <c r="J20" s="17"/>
      <c r="K20" s="17">
        <v>15</v>
      </c>
      <c r="L20" s="17">
        <v>25</v>
      </c>
      <c r="M20" s="17">
        <v>35</v>
      </c>
      <c r="N20" s="17">
        <v>45</v>
      </c>
      <c r="O20" s="17"/>
      <c r="P20" s="12"/>
    </row>
    <row r="21" spans="1:17" x14ac:dyDescent="0.3">
      <c r="A21" s="1" t="s">
        <v>7</v>
      </c>
      <c r="B21" s="1" t="s">
        <v>5</v>
      </c>
      <c r="C21" s="1">
        <v>0</v>
      </c>
      <c r="D21" s="1">
        <v>11</v>
      </c>
      <c r="E21" s="3">
        <v>0</v>
      </c>
      <c r="F21" s="90">
        <v>0</v>
      </c>
      <c r="H21" s="10" t="s">
        <v>166</v>
      </c>
      <c r="I21" s="14" t="s">
        <v>168</v>
      </c>
      <c r="J21" s="17"/>
      <c r="K21" s="17">
        <v>16</v>
      </c>
      <c r="L21" s="17">
        <v>26</v>
      </c>
      <c r="M21" s="17">
        <v>36</v>
      </c>
      <c r="N21" s="17">
        <v>46</v>
      </c>
      <c r="O21" s="17"/>
      <c r="P21" s="12"/>
    </row>
    <row r="22" spans="1:17" ht="13.5" thickBot="1" x14ac:dyDescent="0.35">
      <c r="A22" s="1" t="s">
        <v>7</v>
      </c>
      <c r="B22" s="1" t="s">
        <v>5</v>
      </c>
      <c r="C22" s="1">
        <v>11</v>
      </c>
      <c r="D22" s="1">
        <v>144</v>
      </c>
      <c r="E22" s="3">
        <v>1584</v>
      </c>
      <c r="F22" s="90">
        <v>11</v>
      </c>
      <c r="H22" s="11" t="s">
        <v>162</v>
      </c>
      <c r="I22" s="15" t="s">
        <v>161</v>
      </c>
      <c r="J22" s="18"/>
      <c r="K22" s="18"/>
      <c r="L22" s="18"/>
      <c r="M22" s="18"/>
      <c r="N22" s="18"/>
      <c r="O22" s="18">
        <v>50</v>
      </c>
      <c r="P22" s="13">
        <v>98</v>
      </c>
      <c r="Q22" s="20" t="s">
        <v>169</v>
      </c>
    </row>
    <row r="23" spans="1:17" x14ac:dyDescent="0.3">
      <c r="A23" s="1" t="s">
        <v>7</v>
      </c>
      <c r="B23" s="1" t="s">
        <v>5</v>
      </c>
      <c r="C23" s="1">
        <v>12</v>
      </c>
      <c r="D23" s="1">
        <v>191</v>
      </c>
      <c r="E23" s="3">
        <v>3629</v>
      </c>
      <c r="F23" s="90">
        <v>19</v>
      </c>
    </row>
    <row r="24" spans="1:17" x14ac:dyDescent="0.3">
      <c r="A24" s="1" t="s">
        <v>7</v>
      </c>
      <c r="B24" s="1" t="s">
        <v>5</v>
      </c>
      <c r="C24" s="1">
        <v>13</v>
      </c>
      <c r="D24" s="1">
        <v>11</v>
      </c>
      <c r="E24" s="3">
        <v>51.6</v>
      </c>
      <c r="F24" s="90">
        <v>4.6909090909090896</v>
      </c>
    </row>
    <row r="25" spans="1:17" x14ac:dyDescent="0.3">
      <c r="A25" s="1" t="s">
        <v>7</v>
      </c>
      <c r="B25" s="1" t="s">
        <v>5</v>
      </c>
      <c r="C25" s="1">
        <v>14</v>
      </c>
      <c r="D25" s="1">
        <v>2</v>
      </c>
      <c r="E25" s="3">
        <v>31.5</v>
      </c>
      <c r="F25" s="90">
        <v>15.75</v>
      </c>
    </row>
    <row r="26" spans="1:17" x14ac:dyDescent="0.3">
      <c r="A26" s="1" t="s">
        <v>7</v>
      </c>
      <c r="B26" s="1" t="s">
        <v>5</v>
      </c>
      <c r="C26" s="1">
        <v>16</v>
      </c>
      <c r="D26" s="1">
        <v>1</v>
      </c>
      <c r="E26" s="3">
        <v>30</v>
      </c>
      <c r="F26" s="90">
        <v>30</v>
      </c>
    </row>
    <row r="27" spans="1:17" x14ac:dyDescent="0.3">
      <c r="A27" s="1" t="s">
        <v>8</v>
      </c>
      <c r="B27" s="1" t="s">
        <v>184</v>
      </c>
      <c r="C27" s="1">
        <v>21</v>
      </c>
      <c r="D27" s="1">
        <v>15</v>
      </c>
      <c r="E27" s="3">
        <v>60</v>
      </c>
      <c r="F27" s="90">
        <v>4</v>
      </c>
    </row>
    <row r="28" spans="1:17" x14ac:dyDescent="0.3">
      <c r="A28" s="1" t="s">
        <v>8</v>
      </c>
      <c r="B28" s="1" t="s">
        <v>184</v>
      </c>
      <c r="C28" s="1">
        <v>22</v>
      </c>
      <c r="D28" s="1">
        <v>16</v>
      </c>
      <c r="E28" s="3">
        <v>64</v>
      </c>
      <c r="F28" s="90">
        <v>4</v>
      </c>
    </row>
    <row r="29" spans="1:17" x14ac:dyDescent="0.3">
      <c r="A29" s="1" t="s">
        <v>8</v>
      </c>
      <c r="B29" s="1" t="s">
        <v>183</v>
      </c>
      <c r="C29" s="1">
        <v>31</v>
      </c>
      <c r="D29" s="1">
        <v>45</v>
      </c>
      <c r="E29" s="3">
        <v>360</v>
      </c>
      <c r="F29" s="90">
        <v>8</v>
      </c>
    </row>
    <row r="30" spans="1:17" x14ac:dyDescent="0.3">
      <c r="A30" s="1" t="s">
        <v>8</v>
      </c>
      <c r="B30" s="1" t="s">
        <v>183</v>
      </c>
      <c r="C30" s="1">
        <v>32</v>
      </c>
      <c r="D30" s="1">
        <v>66</v>
      </c>
      <c r="E30" s="3">
        <v>660</v>
      </c>
      <c r="F30" s="90">
        <v>10</v>
      </c>
    </row>
    <row r="31" spans="1:17" x14ac:dyDescent="0.3">
      <c r="A31" s="1" t="s">
        <v>8</v>
      </c>
      <c r="B31" s="1" t="s">
        <v>159</v>
      </c>
      <c r="C31" s="1">
        <v>42</v>
      </c>
      <c r="D31" s="1">
        <v>3</v>
      </c>
      <c r="E31" s="3">
        <v>6</v>
      </c>
      <c r="F31" s="90">
        <v>2</v>
      </c>
    </row>
    <row r="32" spans="1:17" x14ac:dyDescent="0.3">
      <c r="A32" s="1" t="s">
        <v>8</v>
      </c>
      <c r="B32" s="1" t="s">
        <v>5</v>
      </c>
      <c r="C32" s="1">
        <v>0</v>
      </c>
      <c r="D32" s="1">
        <v>3</v>
      </c>
      <c r="E32" s="3">
        <v>0</v>
      </c>
      <c r="F32" s="90">
        <v>0</v>
      </c>
    </row>
    <row r="33" spans="1:6" x14ac:dyDescent="0.3">
      <c r="A33" s="1" t="s">
        <v>8</v>
      </c>
      <c r="B33" s="1" t="s">
        <v>5</v>
      </c>
      <c r="C33" s="1">
        <v>11</v>
      </c>
      <c r="D33" s="1">
        <v>23</v>
      </c>
      <c r="E33" s="3">
        <v>253</v>
      </c>
      <c r="F33" s="90">
        <v>11</v>
      </c>
    </row>
    <row r="34" spans="1:6" x14ac:dyDescent="0.3">
      <c r="A34" s="1" t="s">
        <v>8</v>
      </c>
      <c r="B34" s="1" t="s">
        <v>5</v>
      </c>
      <c r="C34" s="1">
        <v>12</v>
      </c>
      <c r="D34" s="1">
        <v>26</v>
      </c>
      <c r="E34" s="3">
        <v>598</v>
      </c>
      <c r="F34" s="90">
        <v>23</v>
      </c>
    </row>
    <row r="35" spans="1:6" x14ac:dyDescent="0.3">
      <c r="A35" s="1" t="s">
        <v>8</v>
      </c>
      <c r="B35" s="1" t="s">
        <v>5</v>
      </c>
      <c r="C35" s="1">
        <v>13</v>
      </c>
      <c r="D35" s="1">
        <v>1</v>
      </c>
      <c r="E35" s="3">
        <v>8.3000000000000007</v>
      </c>
      <c r="F35" s="90">
        <v>8.3000000000000007</v>
      </c>
    </row>
    <row r="36" spans="1:6" x14ac:dyDescent="0.3">
      <c r="A36" s="1" t="s">
        <v>8</v>
      </c>
      <c r="B36" s="1" t="s">
        <v>5</v>
      </c>
      <c r="C36" s="1">
        <v>15</v>
      </c>
      <c r="D36" s="1">
        <v>2</v>
      </c>
      <c r="E36" s="3">
        <v>14</v>
      </c>
      <c r="F36" s="90">
        <v>7</v>
      </c>
    </row>
    <row r="37" spans="1:6" x14ac:dyDescent="0.3">
      <c r="A37" s="1" t="s">
        <v>8</v>
      </c>
      <c r="B37" s="1" t="s">
        <v>5</v>
      </c>
      <c r="C37" s="1">
        <v>16</v>
      </c>
      <c r="D37" s="1">
        <v>1</v>
      </c>
      <c r="E37" s="3">
        <v>34.5</v>
      </c>
      <c r="F37" s="90">
        <v>34.5</v>
      </c>
    </row>
    <row r="38" spans="1:6" x14ac:dyDescent="0.3">
      <c r="A38" s="1" t="s">
        <v>9</v>
      </c>
      <c r="B38" s="1" t="s">
        <v>184</v>
      </c>
      <c r="C38" s="1">
        <v>21</v>
      </c>
      <c r="D38" s="1">
        <v>4</v>
      </c>
      <c r="E38" s="3">
        <v>16</v>
      </c>
      <c r="F38" s="90">
        <v>4</v>
      </c>
    </row>
    <row r="39" spans="1:6" x14ac:dyDescent="0.3">
      <c r="A39" s="1" t="s">
        <v>9</v>
      </c>
      <c r="B39" s="1" t="s">
        <v>184</v>
      </c>
      <c r="C39" s="1">
        <v>22</v>
      </c>
      <c r="D39" s="1">
        <v>1</v>
      </c>
      <c r="E39" s="3">
        <v>4</v>
      </c>
      <c r="F39" s="90">
        <v>4</v>
      </c>
    </row>
    <row r="40" spans="1:6" x14ac:dyDescent="0.3">
      <c r="A40" s="1" t="s">
        <v>9</v>
      </c>
      <c r="B40" s="1" t="s">
        <v>183</v>
      </c>
      <c r="C40" s="1">
        <v>31</v>
      </c>
      <c r="D40" s="1">
        <v>9</v>
      </c>
      <c r="E40" s="3">
        <v>72</v>
      </c>
      <c r="F40" s="90">
        <v>8</v>
      </c>
    </row>
    <row r="41" spans="1:6" x14ac:dyDescent="0.3">
      <c r="A41" s="1" t="s">
        <v>9</v>
      </c>
      <c r="B41" s="1" t="s">
        <v>183</v>
      </c>
      <c r="C41" s="1">
        <v>32</v>
      </c>
      <c r="D41" s="1">
        <v>20</v>
      </c>
      <c r="E41" s="3">
        <v>200</v>
      </c>
      <c r="F41" s="90">
        <v>10</v>
      </c>
    </row>
    <row r="42" spans="1:6" x14ac:dyDescent="0.3">
      <c r="A42" s="1" t="s">
        <v>9</v>
      </c>
      <c r="B42" s="1" t="s">
        <v>183</v>
      </c>
      <c r="C42" s="1">
        <v>35</v>
      </c>
      <c r="D42" s="1">
        <v>1</v>
      </c>
      <c r="E42" s="3">
        <v>8</v>
      </c>
      <c r="F42" s="90">
        <v>8</v>
      </c>
    </row>
    <row r="43" spans="1:6" x14ac:dyDescent="0.3">
      <c r="A43" s="1" t="s">
        <v>9</v>
      </c>
      <c r="B43" s="1" t="s">
        <v>183</v>
      </c>
      <c r="C43" s="1">
        <v>36</v>
      </c>
      <c r="D43" s="1">
        <v>1</v>
      </c>
      <c r="E43" s="3">
        <v>11</v>
      </c>
      <c r="F43" s="90">
        <v>11</v>
      </c>
    </row>
    <row r="44" spans="1:6" x14ac:dyDescent="0.3">
      <c r="A44" s="1" t="s">
        <v>9</v>
      </c>
      <c r="B44" s="1" t="s">
        <v>159</v>
      </c>
      <c r="C44" s="1">
        <v>42</v>
      </c>
      <c r="D44" s="1">
        <v>1</v>
      </c>
      <c r="E44" s="3">
        <v>2</v>
      </c>
      <c r="F44" s="90">
        <v>2</v>
      </c>
    </row>
    <row r="45" spans="1:6" x14ac:dyDescent="0.3">
      <c r="A45" s="1" t="s">
        <v>9</v>
      </c>
      <c r="B45" s="1" t="s">
        <v>5</v>
      </c>
      <c r="C45" s="1">
        <v>11</v>
      </c>
      <c r="D45" s="1">
        <v>27</v>
      </c>
      <c r="E45" s="3">
        <v>189</v>
      </c>
      <c r="F45" s="90">
        <v>7</v>
      </c>
    </row>
    <row r="46" spans="1:6" x14ac:dyDescent="0.3">
      <c r="A46" s="1" t="s">
        <v>9</v>
      </c>
      <c r="B46" s="1" t="s">
        <v>5</v>
      </c>
      <c r="C46" s="1">
        <v>12</v>
      </c>
      <c r="D46" s="1">
        <v>30</v>
      </c>
      <c r="E46" s="3">
        <v>330</v>
      </c>
      <c r="F46" s="90">
        <v>11</v>
      </c>
    </row>
    <row r="47" spans="1:6" x14ac:dyDescent="0.3">
      <c r="A47" s="1" t="s">
        <v>10</v>
      </c>
      <c r="B47" s="1" t="s">
        <v>184</v>
      </c>
      <c r="C47" s="1">
        <v>0</v>
      </c>
      <c r="D47" s="1">
        <v>2</v>
      </c>
      <c r="E47" s="3">
        <v>0</v>
      </c>
      <c r="F47" s="90">
        <v>0</v>
      </c>
    </row>
    <row r="48" spans="1:6" x14ac:dyDescent="0.3">
      <c r="A48" s="1" t="s">
        <v>10</v>
      </c>
      <c r="B48" s="1" t="s">
        <v>184</v>
      </c>
      <c r="C48" s="1">
        <v>21</v>
      </c>
      <c r="D48" s="1">
        <v>77</v>
      </c>
      <c r="E48" s="3">
        <v>308</v>
      </c>
      <c r="F48" s="90">
        <v>4</v>
      </c>
    </row>
    <row r="49" spans="1:6" x14ac:dyDescent="0.3">
      <c r="A49" s="1" t="s">
        <v>10</v>
      </c>
      <c r="B49" s="1" t="s">
        <v>184</v>
      </c>
      <c r="C49" s="1">
        <v>22</v>
      </c>
      <c r="D49" s="1">
        <v>112</v>
      </c>
      <c r="E49" s="3">
        <v>448</v>
      </c>
      <c r="F49" s="90">
        <v>4</v>
      </c>
    </row>
    <row r="50" spans="1:6" x14ac:dyDescent="0.3">
      <c r="A50" s="1" t="s">
        <v>10</v>
      </c>
      <c r="B50" s="1" t="s">
        <v>184</v>
      </c>
      <c r="C50" s="1">
        <v>24</v>
      </c>
      <c r="D50" s="1">
        <v>1</v>
      </c>
      <c r="E50" s="3">
        <v>8</v>
      </c>
      <c r="F50" s="90">
        <v>8</v>
      </c>
    </row>
    <row r="51" spans="1:6" x14ac:dyDescent="0.3">
      <c r="A51" s="1" t="s">
        <v>10</v>
      </c>
      <c r="B51" s="1" t="s">
        <v>184</v>
      </c>
      <c r="C51" s="1">
        <v>26</v>
      </c>
      <c r="D51" s="1">
        <v>1</v>
      </c>
      <c r="E51" s="3">
        <v>10</v>
      </c>
      <c r="F51" s="90">
        <v>10</v>
      </c>
    </row>
    <row r="52" spans="1:6" x14ac:dyDescent="0.3">
      <c r="A52" s="1" t="s">
        <v>10</v>
      </c>
      <c r="B52" s="1" t="s">
        <v>183</v>
      </c>
      <c r="C52" s="1">
        <v>0</v>
      </c>
      <c r="D52" s="1">
        <v>5</v>
      </c>
      <c r="E52" s="3">
        <v>0</v>
      </c>
      <c r="F52" s="90">
        <v>0</v>
      </c>
    </row>
    <row r="53" spans="1:6" x14ac:dyDescent="0.3">
      <c r="A53" s="1" t="s">
        <v>10</v>
      </c>
      <c r="B53" s="1" t="s">
        <v>183</v>
      </c>
      <c r="C53" s="1">
        <v>31</v>
      </c>
      <c r="D53" s="1">
        <v>308</v>
      </c>
      <c r="E53" s="3">
        <v>2464</v>
      </c>
      <c r="F53" s="90">
        <v>8</v>
      </c>
    </row>
    <row r="54" spans="1:6" x14ac:dyDescent="0.3">
      <c r="A54" s="1" t="s">
        <v>10</v>
      </c>
      <c r="B54" s="1" t="s">
        <v>183</v>
      </c>
      <c r="C54" s="1">
        <v>32</v>
      </c>
      <c r="D54" s="1">
        <v>524</v>
      </c>
      <c r="E54" s="3">
        <v>5240</v>
      </c>
      <c r="F54" s="90">
        <v>10</v>
      </c>
    </row>
    <row r="55" spans="1:6" x14ac:dyDescent="0.3">
      <c r="A55" s="1" t="s">
        <v>10</v>
      </c>
      <c r="B55" s="1" t="s">
        <v>183</v>
      </c>
      <c r="C55" s="1">
        <v>35</v>
      </c>
      <c r="D55" s="1">
        <v>1</v>
      </c>
      <c r="E55" s="3">
        <v>2</v>
      </c>
      <c r="F55" s="90">
        <v>2</v>
      </c>
    </row>
    <row r="56" spans="1:6" x14ac:dyDescent="0.3">
      <c r="A56" s="1" t="s">
        <v>10</v>
      </c>
      <c r="B56" s="1" t="s">
        <v>183</v>
      </c>
      <c r="C56" s="1">
        <v>36</v>
      </c>
      <c r="D56" s="1">
        <v>2</v>
      </c>
      <c r="E56" s="3">
        <v>32</v>
      </c>
      <c r="F56" s="90">
        <v>16</v>
      </c>
    </row>
    <row r="57" spans="1:6" x14ac:dyDescent="0.3">
      <c r="A57" s="1" t="s">
        <v>10</v>
      </c>
      <c r="B57" s="1" t="s">
        <v>159</v>
      </c>
      <c r="C57" s="1">
        <v>41</v>
      </c>
      <c r="D57" s="1">
        <v>2</v>
      </c>
      <c r="E57" s="3">
        <v>4</v>
      </c>
      <c r="F57" s="90">
        <v>2</v>
      </c>
    </row>
    <row r="58" spans="1:6" x14ac:dyDescent="0.3">
      <c r="A58" s="1" t="s">
        <v>10</v>
      </c>
      <c r="B58" s="1" t="s">
        <v>159</v>
      </c>
      <c r="C58" s="1">
        <v>42</v>
      </c>
      <c r="D58" s="1">
        <v>43</v>
      </c>
      <c r="E58" s="3">
        <v>86</v>
      </c>
      <c r="F58" s="90">
        <v>2</v>
      </c>
    </row>
    <row r="59" spans="1:6" x14ac:dyDescent="0.3">
      <c r="A59" s="1" t="s">
        <v>10</v>
      </c>
      <c r="B59" s="1" t="s">
        <v>5</v>
      </c>
      <c r="C59" s="1">
        <v>0</v>
      </c>
      <c r="D59" s="1">
        <v>9</v>
      </c>
      <c r="E59" s="3">
        <v>0</v>
      </c>
      <c r="F59" s="90">
        <v>0</v>
      </c>
    </row>
    <row r="60" spans="1:6" x14ac:dyDescent="0.3">
      <c r="A60" s="1" t="s">
        <v>10</v>
      </c>
      <c r="B60" s="1" t="s">
        <v>5</v>
      </c>
      <c r="C60" s="1">
        <v>11</v>
      </c>
      <c r="D60" s="1">
        <v>76</v>
      </c>
      <c r="E60" s="3">
        <v>608</v>
      </c>
      <c r="F60" s="90">
        <v>8</v>
      </c>
    </row>
    <row r="61" spans="1:6" x14ac:dyDescent="0.3">
      <c r="A61" s="1" t="s">
        <v>10</v>
      </c>
      <c r="B61" s="1" t="s">
        <v>5</v>
      </c>
      <c r="C61" s="1">
        <v>12</v>
      </c>
      <c r="D61" s="1">
        <v>75</v>
      </c>
      <c r="E61" s="3">
        <v>1200</v>
      </c>
      <c r="F61" s="90">
        <v>16</v>
      </c>
    </row>
    <row r="62" spans="1:6" x14ac:dyDescent="0.3">
      <c r="A62" s="1" t="s">
        <v>10</v>
      </c>
      <c r="B62" s="1" t="s">
        <v>5</v>
      </c>
      <c r="C62" s="1">
        <v>13</v>
      </c>
      <c r="D62" s="1">
        <v>6</v>
      </c>
      <c r="E62" s="3">
        <v>24</v>
      </c>
      <c r="F62" s="90">
        <v>4</v>
      </c>
    </row>
    <row r="63" spans="1:6" x14ac:dyDescent="0.3">
      <c r="A63" s="1" t="s">
        <v>10</v>
      </c>
      <c r="B63" s="1" t="s">
        <v>5</v>
      </c>
      <c r="C63" s="1">
        <v>14</v>
      </c>
      <c r="D63" s="1">
        <v>2</v>
      </c>
      <c r="E63" s="3">
        <v>31.5</v>
      </c>
      <c r="F63" s="90">
        <v>15.75</v>
      </c>
    </row>
    <row r="64" spans="1:6" x14ac:dyDescent="0.3">
      <c r="A64" s="1" t="s">
        <v>10</v>
      </c>
      <c r="B64" s="1" t="s">
        <v>5</v>
      </c>
      <c r="C64" s="1">
        <v>15</v>
      </c>
      <c r="D64" s="1">
        <v>2</v>
      </c>
      <c r="E64" s="3">
        <v>12</v>
      </c>
      <c r="F64" s="90">
        <v>6</v>
      </c>
    </row>
    <row r="65" spans="1:6" x14ac:dyDescent="0.3">
      <c r="A65" s="1" t="s">
        <v>11</v>
      </c>
      <c r="B65" s="1" t="s">
        <v>184</v>
      </c>
      <c r="C65" s="1">
        <v>0</v>
      </c>
      <c r="D65" s="1">
        <v>2</v>
      </c>
      <c r="E65" s="3">
        <v>0</v>
      </c>
      <c r="F65" s="90">
        <v>0</v>
      </c>
    </row>
    <row r="66" spans="1:6" x14ac:dyDescent="0.3">
      <c r="A66" s="1" t="s">
        <v>11</v>
      </c>
      <c r="B66" s="1" t="s">
        <v>184</v>
      </c>
      <c r="C66" s="1">
        <v>21</v>
      </c>
      <c r="D66" s="1">
        <v>136</v>
      </c>
      <c r="E66" s="3">
        <v>544</v>
      </c>
      <c r="F66" s="90">
        <v>4</v>
      </c>
    </row>
    <row r="67" spans="1:6" x14ac:dyDescent="0.3">
      <c r="A67" s="1" t="s">
        <v>11</v>
      </c>
      <c r="B67" s="1" t="s">
        <v>184</v>
      </c>
      <c r="C67" s="1">
        <v>22</v>
      </c>
      <c r="D67" s="1">
        <v>144</v>
      </c>
      <c r="E67" s="3">
        <v>576</v>
      </c>
      <c r="F67" s="90">
        <v>4</v>
      </c>
    </row>
    <row r="68" spans="1:6" x14ac:dyDescent="0.3">
      <c r="A68" s="1" t="s">
        <v>11</v>
      </c>
      <c r="B68" s="1" t="s">
        <v>183</v>
      </c>
      <c r="C68" s="1">
        <v>0</v>
      </c>
      <c r="D68" s="1">
        <v>9</v>
      </c>
      <c r="E68" s="3">
        <v>0</v>
      </c>
      <c r="F68" s="90">
        <v>0</v>
      </c>
    </row>
    <row r="69" spans="1:6" x14ac:dyDescent="0.3">
      <c r="A69" s="1" t="s">
        <v>11</v>
      </c>
      <c r="B69" s="1" t="s">
        <v>183</v>
      </c>
      <c r="C69" s="1">
        <v>31</v>
      </c>
      <c r="D69" s="1">
        <v>606</v>
      </c>
      <c r="E69" s="3">
        <v>4848</v>
      </c>
      <c r="F69" s="90">
        <v>8</v>
      </c>
    </row>
    <row r="70" spans="1:6" x14ac:dyDescent="0.3">
      <c r="A70" s="1" t="s">
        <v>11</v>
      </c>
      <c r="B70" s="1" t="s">
        <v>183</v>
      </c>
      <c r="C70" s="1">
        <v>32</v>
      </c>
      <c r="D70" s="1">
        <v>709</v>
      </c>
      <c r="E70" s="3">
        <v>7090</v>
      </c>
      <c r="F70" s="90">
        <v>10</v>
      </c>
    </row>
    <row r="71" spans="1:6" x14ac:dyDescent="0.3">
      <c r="A71" s="1" t="s">
        <v>11</v>
      </c>
      <c r="B71" s="1" t="s">
        <v>183</v>
      </c>
      <c r="C71" s="1">
        <v>34</v>
      </c>
      <c r="D71" s="1">
        <v>1</v>
      </c>
      <c r="E71" s="3">
        <v>11</v>
      </c>
      <c r="F71" s="90">
        <v>11</v>
      </c>
    </row>
    <row r="72" spans="1:6" x14ac:dyDescent="0.3">
      <c r="A72" s="1" t="s">
        <v>11</v>
      </c>
      <c r="B72" s="1" t="s">
        <v>183</v>
      </c>
      <c r="C72" s="1">
        <v>35</v>
      </c>
      <c r="D72" s="1">
        <v>4</v>
      </c>
      <c r="E72" s="3">
        <v>8</v>
      </c>
      <c r="F72" s="90">
        <v>2</v>
      </c>
    </row>
    <row r="73" spans="1:6" x14ac:dyDescent="0.3">
      <c r="A73" s="1" t="s">
        <v>11</v>
      </c>
      <c r="B73" s="1" t="s">
        <v>183</v>
      </c>
      <c r="C73" s="1">
        <v>36</v>
      </c>
      <c r="D73" s="1">
        <v>2</v>
      </c>
      <c r="E73" s="3">
        <v>40</v>
      </c>
      <c r="F73" s="90">
        <v>20</v>
      </c>
    </row>
    <row r="74" spans="1:6" x14ac:dyDescent="0.3">
      <c r="A74" s="1" t="s">
        <v>11</v>
      </c>
      <c r="B74" s="1" t="s">
        <v>159</v>
      </c>
      <c r="C74" s="1">
        <v>41</v>
      </c>
      <c r="D74" s="1">
        <v>2</v>
      </c>
      <c r="E74" s="3">
        <v>4</v>
      </c>
      <c r="F74" s="90">
        <v>2</v>
      </c>
    </row>
    <row r="75" spans="1:6" x14ac:dyDescent="0.3">
      <c r="A75" s="1" t="s">
        <v>11</v>
      </c>
      <c r="B75" s="1" t="s">
        <v>159</v>
      </c>
      <c r="C75" s="1">
        <v>42</v>
      </c>
      <c r="D75" s="1">
        <v>115</v>
      </c>
      <c r="E75" s="3">
        <v>230</v>
      </c>
      <c r="F75" s="90">
        <v>2</v>
      </c>
    </row>
    <row r="76" spans="1:6" x14ac:dyDescent="0.3">
      <c r="A76" s="1" t="s">
        <v>11</v>
      </c>
      <c r="B76" s="1" t="s">
        <v>5</v>
      </c>
      <c r="C76" s="1">
        <v>0</v>
      </c>
      <c r="D76" s="1">
        <v>10</v>
      </c>
      <c r="E76" s="3">
        <v>0</v>
      </c>
      <c r="F76" s="90">
        <v>0</v>
      </c>
    </row>
    <row r="77" spans="1:6" x14ac:dyDescent="0.3">
      <c r="A77" s="1" t="s">
        <v>11</v>
      </c>
      <c r="B77" s="1" t="s">
        <v>5</v>
      </c>
      <c r="C77" s="1">
        <v>11</v>
      </c>
      <c r="D77" s="1">
        <v>128</v>
      </c>
      <c r="E77" s="3">
        <v>1408</v>
      </c>
      <c r="F77" s="90">
        <v>11</v>
      </c>
    </row>
    <row r="78" spans="1:6" x14ac:dyDescent="0.3">
      <c r="A78" s="1" t="s">
        <v>11</v>
      </c>
      <c r="B78" s="1" t="s">
        <v>5</v>
      </c>
      <c r="C78" s="1">
        <v>12</v>
      </c>
      <c r="D78" s="1">
        <v>78</v>
      </c>
      <c r="E78" s="3">
        <v>1560</v>
      </c>
      <c r="F78" s="90">
        <v>20</v>
      </c>
    </row>
    <row r="79" spans="1:6" x14ac:dyDescent="0.3">
      <c r="A79" s="1" t="s">
        <v>11</v>
      </c>
      <c r="B79" s="1" t="s">
        <v>5</v>
      </c>
      <c r="C79" s="1">
        <v>13</v>
      </c>
      <c r="D79" s="1">
        <v>10</v>
      </c>
      <c r="E79" s="3">
        <v>69.7</v>
      </c>
      <c r="F79" s="90">
        <v>6.97</v>
      </c>
    </row>
    <row r="80" spans="1:6" x14ac:dyDescent="0.3">
      <c r="A80" s="1" t="s">
        <v>11</v>
      </c>
      <c r="B80" s="1" t="s">
        <v>5</v>
      </c>
      <c r="C80" s="1">
        <v>15</v>
      </c>
      <c r="D80" s="1">
        <v>8</v>
      </c>
      <c r="E80" s="3">
        <v>40</v>
      </c>
      <c r="F80" s="90">
        <v>5</v>
      </c>
    </row>
    <row r="81" spans="1:6" x14ac:dyDescent="0.3">
      <c r="A81" s="1" t="s">
        <v>12</v>
      </c>
      <c r="B81" s="1" t="s">
        <v>184</v>
      </c>
      <c r="C81" s="1">
        <v>0</v>
      </c>
      <c r="D81" s="1">
        <v>3</v>
      </c>
      <c r="E81" s="3">
        <v>0</v>
      </c>
      <c r="F81" s="90">
        <v>0</v>
      </c>
    </row>
    <row r="82" spans="1:6" x14ac:dyDescent="0.3">
      <c r="A82" s="1" t="s">
        <v>12</v>
      </c>
      <c r="B82" s="1" t="s">
        <v>184</v>
      </c>
      <c r="C82" s="1">
        <v>21</v>
      </c>
      <c r="D82" s="1">
        <v>267</v>
      </c>
      <c r="E82" s="3">
        <v>1068</v>
      </c>
      <c r="F82" s="90">
        <v>4</v>
      </c>
    </row>
    <row r="83" spans="1:6" x14ac:dyDescent="0.3">
      <c r="A83" s="1" t="s">
        <v>12</v>
      </c>
      <c r="B83" s="1" t="s">
        <v>184</v>
      </c>
      <c r="C83" s="1">
        <v>22</v>
      </c>
      <c r="D83" s="1">
        <v>269</v>
      </c>
      <c r="E83" s="3">
        <v>1076</v>
      </c>
      <c r="F83" s="90">
        <v>4</v>
      </c>
    </row>
    <row r="84" spans="1:6" x14ac:dyDescent="0.3">
      <c r="A84" s="1" t="s">
        <v>12</v>
      </c>
      <c r="B84" s="1" t="s">
        <v>184</v>
      </c>
      <c r="C84" s="1">
        <v>26</v>
      </c>
      <c r="D84" s="1">
        <v>1</v>
      </c>
      <c r="E84" s="3">
        <v>10</v>
      </c>
      <c r="F84" s="90">
        <v>10</v>
      </c>
    </row>
    <row r="85" spans="1:6" x14ac:dyDescent="0.3">
      <c r="A85" s="1" t="s">
        <v>12</v>
      </c>
      <c r="B85" s="1" t="s">
        <v>183</v>
      </c>
      <c r="C85" s="1">
        <v>0</v>
      </c>
      <c r="D85" s="1">
        <v>4</v>
      </c>
      <c r="E85" s="3">
        <v>0</v>
      </c>
      <c r="F85" s="90">
        <v>0</v>
      </c>
    </row>
    <row r="86" spans="1:6" x14ac:dyDescent="0.3">
      <c r="A86" s="1" t="s">
        <v>12</v>
      </c>
      <c r="B86" s="1" t="s">
        <v>183</v>
      </c>
      <c r="C86" s="1">
        <v>31</v>
      </c>
      <c r="D86" s="1">
        <v>882</v>
      </c>
      <c r="E86" s="3">
        <v>7056</v>
      </c>
      <c r="F86" s="90">
        <v>8</v>
      </c>
    </row>
    <row r="87" spans="1:6" x14ac:dyDescent="0.3">
      <c r="A87" s="1" t="s">
        <v>12</v>
      </c>
      <c r="B87" s="1" t="s">
        <v>183</v>
      </c>
      <c r="C87" s="1">
        <v>32</v>
      </c>
      <c r="D87" s="1">
        <v>936</v>
      </c>
      <c r="E87" s="3">
        <v>9360</v>
      </c>
      <c r="F87" s="90">
        <v>10</v>
      </c>
    </row>
    <row r="88" spans="1:6" x14ac:dyDescent="0.3">
      <c r="A88" s="1" t="s">
        <v>12</v>
      </c>
      <c r="B88" s="1" t="s">
        <v>183</v>
      </c>
      <c r="C88" s="1">
        <v>33</v>
      </c>
      <c r="D88" s="1">
        <v>4</v>
      </c>
      <c r="E88" s="3">
        <v>14</v>
      </c>
      <c r="F88" s="90">
        <v>3.5</v>
      </c>
    </row>
    <row r="89" spans="1:6" x14ac:dyDescent="0.3">
      <c r="A89" s="1" t="s">
        <v>12</v>
      </c>
      <c r="B89" s="1" t="s">
        <v>183</v>
      </c>
      <c r="C89" s="1">
        <v>34</v>
      </c>
      <c r="D89" s="1">
        <v>1</v>
      </c>
      <c r="E89" s="3">
        <v>11</v>
      </c>
      <c r="F89" s="90">
        <v>11</v>
      </c>
    </row>
    <row r="90" spans="1:6" x14ac:dyDescent="0.3">
      <c r="A90" s="1" t="s">
        <v>12</v>
      </c>
      <c r="B90" s="1" t="s">
        <v>183</v>
      </c>
      <c r="C90" s="1">
        <v>35</v>
      </c>
      <c r="D90" s="1">
        <v>4</v>
      </c>
      <c r="E90" s="3">
        <v>21</v>
      </c>
      <c r="F90" s="90">
        <v>5.25</v>
      </c>
    </row>
    <row r="91" spans="1:6" x14ac:dyDescent="0.3">
      <c r="A91" s="1" t="s">
        <v>12</v>
      </c>
      <c r="B91" s="1" t="s">
        <v>183</v>
      </c>
      <c r="C91" s="1">
        <v>36</v>
      </c>
      <c r="D91" s="1">
        <v>1</v>
      </c>
      <c r="E91" s="3">
        <v>17</v>
      </c>
      <c r="F91" s="90">
        <v>17</v>
      </c>
    </row>
    <row r="92" spans="1:6" x14ac:dyDescent="0.3">
      <c r="A92" s="1" t="s">
        <v>12</v>
      </c>
      <c r="B92" s="1" t="s">
        <v>159</v>
      </c>
      <c r="C92" s="1">
        <v>41</v>
      </c>
      <c r="D92" s="1">
        <v>8</v>
      </c>
      <c r="E92" s="3">
        <v>16</v>
      </c>
      <c r="F92" s="90">
        <v>2</v>
      </c>
    </row>
    <row r="93" spans="1:6" x14ac:dyDescent="0.3">
      <c r="A93" s="1" t="s">
        <v>12</v>
      </c>
      <c r="B93" s="1" t="s">
        <v>159</v>
      </c>
      <c r="C93" s="1">
        <v>42</v>
      </c>
      <c r="D93" s="1">
        <v>90</v>
      </c>
      <c r="E93" s="3">
        <v>180</v>
      </c>
      <c r="F93" s="90">
        <v>2</v>
      </c>
    </row>
    <row r="94" spans="1:6" x14ac:dyDescent="0.3">
      <c r="A94" s="1" t="s">
        <v>12</v>
      </c>
      <c r="B94" s="1" t="s">
        <v>5</v>
      </c>
      <c r="C94" s="1">
        <v>0</v>
      </c>
      <c r="D94" s="1">
        <v>9</v>
      </c>
      <c r="E94" s="3">
        <v>0</v>
      </c>
      <c r="F94" s="90">
        <v>0</v>
      </c>
    </row>
    <row r="95" spans="1:6" x14ac:dyDescent="0.3">
      <c r="A95" s="1" t="s">
        <v>12</v>
      </c>
      <c r="B95" s="1" t="s">
        <v>5</v>
      </c>
      <c r="C95" s="1">
        <v>10</v>
      </c>
      <c r="D95" s="1">
        <v>2</v>
      </c>
      <c r="E95" s="3">
        <v>0</v>
      </c>
      <c r="F95" s="90">
        <v>0</v>
      </c>
    </row>
    <row r="96" spans="1:6" x14ac:dyDescent="0.3">
      <c r="A96" s="1" t="s">
        <v>12</v>
      </c>
      <c r="B96" s="1" t="s">
        <v>5</v>
      </c>
      <c r="C96" s="1">
        <v>11</v>
      </c>
      <c r="D96" s="1">
        <v>437</v>
      </c>
      <c r="E96" s="3">
        <v>4807</v>
      </c>
      <c r="F96" s="90">
        <v>11</v>
      </c>
    </row>
    <row r="97" spans="1:6" x14ac:dyDescent="0.3">
      <c r="A97" s="1" t="s">
        <v>12</v>
      </c>
      <c r="B97" s="1" t="s">
        <v>5</v>
      </c>
      <c r="C97" s="1">
        <v>12</v>
      </c>
      <c r="D97" s="1">
        <v>268</v>
      </c>
      <c r="E97" s="3">
        <v>4556</v>
      </c>
      <c r="F97" s="90">
        <v>17</v>
      </c>
    </row>
    <row r="98" spans="1:6" x14ac:dyDescent="0.3">
      <c r="A98" s="1" t="s">
        <v>12</v>
      </c>
      <c r="B98" s="1" t="s">
        <v>5</v>
      </c>
      <c r="C98" s="1">
        <v>13</v>
      </c>
      <c r="D98" s="1">
        <v>9</v>
      </c>
      <c r="E98" s="3">
        <v>59.7</v>
      </c>
      <c r="F98" s="90">
        <v>6.6333333333333302</v>
      </c>
    </row>
    <row r="99" spans="1:6" x14ac:dyDescent="0.3">
      <c r="A99" s="1" t="s">
        <v>12</v>
      </c>
      <c r="B99" s="1" t="s">
        <v>5</v>
      </c>
      <c r="C99" s="1">
        <v>14</v>
      </c>
      <c r="D99" s="1">
        <v>2</v>
      </c>
      <c r="E99" s="3">
        <v>39</v>
      </c>
      <c r="F99" s="90">
        <v>19.5</v>
      </c>
    </row>
    <row r="100" spans="1:6" x14ac:dyDescent="0.3">
      <c r="A100" s="1" t="s">
        <v>12</v>
      </c>
      <c r="B100" s="1" t="s">
        <v>5</v>
      </c>
      <c r="C100" s="1">
        <v>15</v>
      </c>
      <c r="D100" s="1">
        <v>18</v>
      </c>
      <c r="E100" s="3">
        <v>125.8</v>
      </c>
      <c r="F100" s="90">
        <v>6.9888888888888898</v>
      </c>
    </row>
    <row r="101" spans="1:6" x14ac:dyDescent="0.3">
      <c r="A101" s="1" t="s">
        <v>13</v>
      </c>
      <c r="B101" s="1" t="s">
        <v>184</v>
      </c>
      <c r="C101" s="1">
        <v>21</v>
      </c>
      <c r="D101" s="1">
        <v>28</v>
      </c>
      <c r="E101" s="3">
        <v>112</v>
      </c>
      <c r="F101" s="90">
        <v>4</v>
      </c>
    </row>
    <row r="102" spans="1:6" x14ac:dyDescent="0.3">
      <c r="A102" s="1" t="s">
        <v>13</v>
      </c>
      <c r="B102" s="1" t="s">
        <v>184</v>
      </c>
      <c r="C102" s="1">
        <v>22</v>
      </c>
      <c r="D102" s="1">
        <v>10</v>
      </c>
      <c r="E102" s="3">
        <v>40</v>
      </c>
      <c r="F102" s="90">
        <v>4</v>
      </c>
    </row>
    <row r="103" spans="1:6" x14ac:dyDescent="0.3">
      <c r="A103" s="1" t="s">
        <v>13</v>
      </c>
      <c r="B103" s="1" t="s">
        <v>184</v>
      </c>
      <c r="C103" s="1">
        <v>25</v>
      </c>
      <c r="D103" s="1">
        <v>1</v>
      </c>
      <c r="E103" s="3">
        <v>2</v>
      </c>
      <c r="F103" s="90">
        <v>2</v>
      </c>
    </row>
    <row r="104" spans="1:6" x14ac:dyDescent="0.3">
      <c r="A104" s="1" t="s">
        <v>13</v>
      </c>
      <c r="B104" s="1" t="s">
        <v>183</v>
      </c>
      <c r="C104" s="1">
        <v>0</v>
      </c>
      <c r="D104" s="1">
        <v>2</v>
      </c>
      <c r="E104" s="3">
        <v>0</v>
      </c>
      <c r="F104" s="90">
        <v>0</v>
      </c>
    </row>
    <row r="105" spans="1:6" x14ac:dyDescent="0.3">
      <c r="A105" s="1" t="s">
        <v>13</v>
      </c>
      <c r="B105" s="1" t="s">
        <v>183</v>
      </c>
      <c r="C105" s="1">
        <v>31</v>
      </c>
      <c r="D105" s="1">
        <v>120</v>
      </c>
      <c r="E105" s="3">
        <v>960</v>
      </c>
      <c r="F105" s="90">
        <v>8</v>
      </c>
    </row>
    <row r="106" spans="1:6" x14ac:dyDescent="0.3">
      <c r="A106" s="1" t="s">
        <v>13</v>
      </c>
      <c r="B106" s="1" t="s">
        <v>183</v>
      </c>
      <c r="C106" s="1">
        <v>32</v>
      </c>
      <c r="D106" s="1">
        <v>31</v>
      </c>
      <c r="E106" s="3">
        <v>310</v>
      </c>
      <c r="F106" s="90">
        <v>10</v>
      </c>
    </row>
    <row r="107" spans="1:6" x14ac:dyDescent="0.3">
      <c r="A107" s="1" t="s">
        <v>13</v>
      </c>
      <c r="B107" s="1" t="s">
        <v>159</v>
      </c>
      <c r="C107" s="1">
        <v>41</v>
      </c>
      <c r="D107" s="1">
        <v>1</v>
      </c>
      <c r="E107" s="3">
        <v>2</v>
      </c>
      <c r="F107" s="90">
        <v>2</v>
      </c>
    </row>
    <row r="108" spans="1:6" x14ac:dyDescent="0.3">
      <c r="A108" s="1" t="s">
        <v>13</v>
      </c>
      <c r="B108" s="1" t="s">
        <v>159</v>
      </c>
      <c r="C108" s="1">
        <v>42</v>
      </c>
      <c r="D108" s="1">
        <v>5</v>
      </c>
      <c r="E108" s="3">
        <v>10</v>
      </c>
      <c r="F108" s="90">
        <v>2</v>
      </c>
    </row>
    <row r="109" spans="1:6" x14ac:dyDescent="0.3">
      <c r="A109" s="1" t="s">
        <v>13</v>
      </c>
      <c r="B109" s="1" t="s">
        <v>5</v>
      </c>
      <c r="C109" s="1">
        <v>0</v>
      </c>
      <c r="D109" s="1">
        <v>2</v>
      </c>
      <c r="E109" s="3">
        <v>0</v>
      </c>
      <c r="F109" s="90">
        <v>0</v>
      </c>
    </row>
    <row r="110" spans="1:6" x14ac:dyDescent="0.3">
      <c r="A110" s="1" t="s">
        <v>13</v>
      </c>
      <c r="B110" s="1" t="s">
        <v>5</v>
      </c>
      <c r="C110" s="1">
        <v>11</v>
      </c>
      <c r="D110" s="1">
        <v>47</v>
      </c>
      <c r="E110" s="3">
        <v>517</v>
      </c>
      <c r="F110" s="90">
        <v>11</v>
      </c>
    </row>
    <row r="111" spans="1:6" x14ac:dyDescent="0.3">
      <c r="A111" s="1" t="s">
        <v>13</v>
      </c>
      <c r="B111" s="1" t="s">
        <v>5</v>
      </c>
      <c r="C111" s="1">
        <v>12</v>
      </c>
      <c r="D111" s="1">
        <v>2</v>
      </c>
      <c r="E111" s="3">
        <v>62</v>
      </c>
      <c r="F111" s="90">
        <v>31</v>
      </c>
    </row>
    <row r="112" spans="1:6" x14ac:dyDescent="0.3">
      <c r="A112" s="1" t="s">
        <v>13</v>
      </c>
      <c r="B112" s="1" t="s">
        <v>5</v>
      </c>
      <c r="C112" s="1">
        <v>13</v>
      </c>
      <c r="D112" s="1">
        <v>4</v>
      </c>
      <c r="E112" s="3">
        <v>7.3</v>
      </c>
      <c r="F112" s="90">
        <v>1.825</v>
      </c>
    </row>
    <row r="113" spans="1:6" x14ac:dyDescent="0.3">
      <c r="A113" s="1" t="s">
        <v>14</v>
      </c>
      <c r="B113" s="1" t="s">
        <v>184</v>
      </c>
      <c r="C113" s="1">
        <v>0</v>
      </c>
      <c r="D113" s="1">
        <v>5</v>
      </c>
      <c r="E113" s="3">
        <v>0</v>
      </c>
      <c r="F113" s="90">
        <v>0</v>
      </c>
    </row>
    <row r="114" spans="1:6" x14ac:dyDescent="0.3">
      <c r="A114" s="1" t="s">
        <v>14</v>
      </c>
      <c r="B114" s="1" t="s">
        <v>184</v>
      </c>
      <c r="C114" s="1">
        <v>21</v>
      </c>
      <c r="D114" s="1">
        <v>128</v>
      </c>
      <c r="E114" s="3">
        <v>512</v>
      </c>
      <c r="F114" s="90">
        <v>4</v>
      </c>
    </row>
    <row r="115" spans="1:6" x14ac:dyDescent="0.3">
      <c r="A115" s="1" t="s">
        <v>14</v>
      </c>
      <c r="B115" s="1" t="s">
        <v>184</v>
      </c>
      <c r="C115" s="1">
        <v>22</v>
      </c>
      <c r="D115" s="1">
        <v>139</v>
      </c>
      <c r="E115" s="3">
        <v>556</v>
      </c>
      <c r="F115" s="90">
        <v>4</v>
      </c>
    </row>
    <row r="116" spans="1:6" x14ac:dyDescent="0.3">
      <c r="A116" s="1" t="s">
        <v>14</v>
      </c>
      <c r="B116" s="1" t="s">
        <v>184</v>
      </c>
      <c r="C116" s="1">
        <v>25</v>
      </c>
      <c r="D116" s="1">
        <v>4</v>
      </c>
      <c r="E116" s="3">
        <v>8</v>
      </c>
      <c r="F116" s="90">
        <v>2</v>
      </c>
    </row>
    <row r="117" spans="1:6" x14ac:dyDescent="0.3">
      <c r="A117" s="1" t="s">
        <v>14</v>
      </c>
      <c r="B117" s="1" t="s">
        <v>184</v>
      </c>
      <c r="C117" s="1">
        <v>26</v>
      </c>
      <c r="D117" s="1">
        <v>3</v>
      </c>
      <c r="E117" s="3">
        <v>27</v>
      </c>
      <c r="F117" s="90">
        <v>9</v>
      </c>
    </row>
    <row r="118" spans="1:6" x14ac:dyDescent="0.3">
      <c r="A118" s="1" t="s">
        <v>14</v>
      </c>
      <c r="B118" s="1" t="s">
        <v>183</v>
      </c>
      <c r="C118" s="1">
        <v>0</v>
      </c>
      <c r="D118" s="1">
        <v>8</v>
      </c>
      <c r="E118" s="3">
        <v>0</v>
      </c>
      <c r="F118" s="90">
        <v>0</v>
      </c>
    </row>
    <row r="119" spans="1:6" x14ac:dyDescent="0.3">
      <c r="A119" s="1" t="s">
        <v>14</v>
      </c>
      <c r="B119" s="1" t="s">
        <v>183</v>
      </c>
      <c r="C119" s="1">
        <v>31</v>
      </c>
      <c r="D119" s="1">
        <v>318</v>
      </c>
      <c r="E119" s="3">
        <v>2544</v>
      </c>
      <c r="F119" s="90">
        <v>8</v>
      </c>
    </row>
    <row r="120" spans="1:6" x14ac:dyDescent="0.3">
      <c r="A120" s="1" t="s">
        <v>14</v>
      </c>
      <c r="B120" s="1" t="s">
        <v>183</v>
      </c>
      <c r="C120" s="1">
        <v>32</v>
      </c>
      <c r="D120" s="1">
        <v>249</v>
      </c>
      <c r="E120" s="3">
        <v>2490</v>
      </c>
      <c r="F120" s="90">
        <v>10</v>
      </c>
    </row>
    <row r="121" spans="1:6" x14ac:dyDescent="0.3">
      <c r="A121" s="1" t="s">
        <v>14</v>
      </c>
      <c r="B121" s="1" t="s">
        <v>183</v>
      </c>
      <c r="C121" s="1">
        <v>35</v>
      </c>
      <c r="D121" s="1">
        <v>47</v>
      </c>
      <c r="E121" s="3">
        <v>317.60000000000002</v>
      </c>
      <c r="F121" s="90">
        <v>6.7574468085106396</v>
      </c>
    </row>
    <row r="122" spans="1:6" x14ac:dyDescent="0.3">
      <c r="A122" s="1" t="s">
        <v>14</v>
      </c>
      <c r="B122" s="1" t="s">
        <v>159</v>
      </c>
      <c r="C122" s="1">
        <v>41</v>
      </c>
      <c r="D122" s="1">
        <v>3</v>
      </c>
      <c r="E122" s="3">
        <v>6</v>
      </c>
      <c r="F122" s="90">
        <v>2</v>
      </c>
    </row>
    <row r="123" spans="1:6" x14ac:dyDescent="0.3">
      <c r="A123" s="1" t="s">
        <v>14</v>
      </c>
      <c r="B123" s="1" t="s">
        <v>159</v>
      </c>
      <c r="C123" s="1">
        <v>42</v>
      </c>
      <c r="D123" s="1">
        <v>544</v>
      </c>
      <c r="E123" s="3">
        <v>1088</v>
      </c>
      <c r="F123" s="90">
        <v>2</v>
      </c>
    </row>
    <row r="124" spans="1:6" x14ac:dyDescent="0.3">
      <c r="A124" s="1" t="s">
        <v>14</v>
      </c>
      <c r="B124" s="1" t="s">
        <v>5</v>
      </c>
      <c r="C124" s="1">
        <v>0</v>
      </c>
      <c r="D124" s="1">
        <v>169</v>
      </c>
      <c r="E124" s="3">
        <v>0</v>
      </c>
      <c r="F124" s="90">
        <v>0</v>
      </c>
    </row>
    <row r="125" spans="1:6" x14ac:dyDescent="0.3">
      <c r="A125" s="1" t="s">
        <v>14</v>
      </c>
      <c r="B125" s="1" t="s">
        <v>5</v>
      </c>
      <c r="C125" s="1">
        <v>11</v>
      </c>
      <c r="D125" s="1">
        <v>1705</v>
      </c>
      <c r="E125" s="3">
        <v>13640</v>
      </c>
      <c r="F125" s="90">
        <v>8</v>
      </c>
    </row>
    <row r="126" spans="1:6" x14ac:dyDescent="0.3">
      <c r="A126" s="1" t="s">
        <v>14</v>
      </c>
      <c r="B126" s="1" t="s">
        <v>5</v>
      </c>
      <c r="C126" s="1">
        <v>12</v>
      </c>
      <c r="D126" s="1">
        <v>1526</v>
      </c>
      <c r="E126" s="3">
        <v>13734</v>
      </c>
      <c r="F126" s="90">
        <v>9</v>
      </c>
    </row>
    <row r="127" spans="1:6" x14ac:dyDescent="0.3">
      <c r="A127" s="1" t="s">
        <v>14</v>
      </c>
      <c r="B127" s="1" t="s">
        <v>5</v>
      </c>
      <c r="C127" s="1">
        <v>13</v>
      </c>
      <c r="D127" s="1">
        <v>79</v>
      </c>
      <c r="E127" s="3">
        <v>346.8</v>
      </c>
      <c r="F127" s="90">
        <v>4.3898734177215202</v>
      </c>
    </row>
    <row r="128" spans="1:6" x14ac:dyDescent="0.3">
      <c r="A128" s="1" t="s">
        <v>14</v>
      </c>
      <c r="B128" s="1" t="s">
        <v>5</v>
      </c>
      <c r="C128" s="1">
        <v>14</v>
      </c>
      <c r="D128" s="1">
        <v>7</v>
      </c>
      <c r="E128" s="3">
        <v>108.5</v>
      </c>
      <c r="F128" s="90">
        <v>15.5</v>
      </c>
    </row>
    <row r="129" spans="1:6" x14ac:dyDescent="0.3">
      <c r="A129" s="1" t="s">
        <v>14</v>
      </c>
      <c r="B129" s="1" t="s">
        <v>5</v>
      </c>
      <c r="C129" s="1">
        <v>15</v>
      </c>
      <c r="D129" s="1">
        <v>183</v>
      </c>
      <c r="E129" s="3">
        <v>517.79999999999995</v>
      </c>
      <c r="F129" s="90">
        <v>2.82950819672131</v>
      </c>
    </row>
    <row r="130" spans="1:6" x14ac:dyDescent="0.3">
      <c r="A130" s="1" t="s">
        <v>14</v>
      </c>
      <c r="B130" s="1" t="s">
        <v>5</v>
      </c>
      <c r="C130" s="1">
        <v>16</v>
      </c>
      <c r="D130" s="1">
        <v>3</v>
      </c>
      <c r="E130" s="3">
        <v>47.5</v>
      </c>
      <c r="F130" s="90">
        <v>15.8333333333333</v>
      </c>
    </row>
    <row r="131" spans="1:6" x14ac:dyDescent="0.3">
      <c r="A131" s="1" t="s">
        <v>15</v>
      </c>
      <c r="B131" s="1" t="s">
        <v>184</v>
      </c>
      <c r="C131" s="1">
        <v>21</v>
      </c>
      <c r="D131" s="1">
        <v>1</v>
      </c>
      <c r="E131" s="3">
        <v>4</v>
      </c>
      <c r="F131" s="90">
        <v>4</v>
      </c>
    </row>
    <row r="132" spans="1:6" x14ac:dyDescent="0.3">
      <c r="A132" s="1" t="s">
        <v>15</v>
      </c>
      <c r="B132" s="1" t="s">
        <v>184</v>
      </c>
      <c r="C132" s="1">
        <v>22</v>
      </c>
      <c r="D132" s="1">
        <v>1</v>
      </c>
      <c r="E132" s="3">
        <v>4</v>
      </c>
      <c r="F132" s="90">
        <v>4</v>
      </c>
    </row>
    <row r="133" spans="1:6" x14ac:dyDescent="0.3">
      <c r="A133" s="1" t="s">
        <v>15</v>
      </c>
      <c r="B133" s="1" t="s">
        <v>159</v>
      </c>
      <c r="C133" s="1">
        <v>42</v>
      </c>
      <c r="D133" s="1">
        <v>2</v>
      </c>
      <c r="E133" s="3">
        <v>4</v>
      </c>
      <c r="F133" s="90">
        <v>2</v>
      </c>
    </row>
    <row r="134" spans="1:6" x14ac:dyDescent="0.3">
      <c r="A134" s="1" t="s">
        <v>15</v>
      </c>
      <c r="B134" s="1" t="s">
        <v>5</v>
      </c>
      <c r="C134" s="1">
        <v>11</v>
      </c>
      <c r="D134" s="1">
        <v>4</v>
      </c>
      <c r="E134" s="3">
        <v>16</v>
      </c>
      <c r="F134" s="90">
        <v>4</v>
      </c>
    </row>
    <row r="135" spans="1:6" x14ac:dyDescent="0.3">
      <c r="A135" s="1" t="s">
        <v>15</v>
      </c>
      <c r="B135" s="1" t="s">
        <v>5</v>
      </c>
      <c r="C135" s="1">
        <v>12</v>
      </c>
      <c r="D135" s="1">
        <v>1</v>
      </c>
      <c r="E135" s="3">
        <v>8</v>
      </c>
      <c r="F135" s="90">
        <v>8</v>
      </c>
    </row>
    <row r="136" spans="1:6" x14ac:dyDescent="0.3">
      <c r="A136" s="1" t="s">
        <v>16</v>
      </c>
      <c r="B136" s="1" t="s">
        <v>184</v>
      </c>
      <c r="C136" s="1">
        <v>21</v>
      </c>
      <c r="D136" s="1">
        <v>24</v>
      </c>
      <c r="E136" s="3">
        <v>96</v>
      </c>
      <c r="F136" s="90">
        <v>4</v>
      </c>
    </row>
    <row r="137" spans="1:6" x14ac:dyDescent="0.3">
      <c r="A137" s="1" t="s">
        <v>16</v>
      </c>
      <c r="B137" s="1" t="s">
        <v>184</v>
      </c>
      <c r="C137" s="1">
        <v>22</v>
      </c>
      <c r="D137" s="1">
        <v>6</v>
      </c>
      <c r="E137" s="3">
        <v>24</v>
      </c>
      <c r="F137" s="90">
        <v>4</v>
      </c>
    </row>
    <row r="138" spans="1:6" x14ac:dyDescent="0.3">
      <c r="A138" s="1" t="s">
        <v>16</v>
      </c>
      <c r="B138" s="1" t="s">
        <v>184</v>
      </c>
      <c r="C138" s="1">
        <v>26</v>
      </c>
      <c r="D138" s="1">
        <v>2</v>
      </c>
      <c r="E138" s="3">
        <v>20</v>
      </c>
      <c r="F138" s="90">
        <v>10</v>
      </c>
    </row>
    <row r="139" spans="1:6" x14ac:dyDescent="0.3">
      <c r="A139" s="1" t="s">
        <v>16</v>
      </c>
      <c r="B139" s="1" t="s">
        <v>183</v>
      </c>
      <c r="C139" s="1">
        <v>0</v>
      </c>
      <c r="D139" s="1">
        <v>1</v>
      </c>
      <c r="E139" s="3">
        <v>0</v>
      </c>
      <c r="F139" s="90">
        <v>0</v>
      </c>
    </row>
    <row r="140" spans="1:6" x14ac:dyDescent="0.3">
      <c r="A140" s="1" t="s">
        <v>16</v>
      </c>
      <c r="B140" s="1" t="s">
        <v>183</v>
      </c>
      <c r="C140" s="1">
        <v>31</v>
      </c>
      <c r="D140" s="1">
        <v>59</v>
      </c>
      <c r="E140" s="3">
        <v>472</v>
      </c>
      <c r="F140" s="90">
        <v>8</v>
      </c>
    </row>
    <row r="141" spans="1:6" x14ac:dyDescent="0.3">
      <c r="A141" s="1" t="s">
        <v>16</v>
      </c>
      <c r="B141" s="1" t="s">
        <v>183</v>
      </c>
      <c r="C141" s="1">
        <v>32</v>
      </c>
      <c r="D141" s="1">
        <v>19</v>
      </c>
      <c r="E141" s="3">
        <v>190</v>
      </c>
      <c r="F141" s="90">
        <v>10</v>
      </c>
    </row>
    <row r="142" spans="1:6" x14ac:dyDescent="0.3">
      <c r="A142" s="1" t="s">
        <v>16</v>
      </c>
      <c r="B142" s="1" t="s">
        <v>159</v>
      </c>
      <c r="C142" s="1">
        <v>42</v>
      </c>
      <c r="D142" s="1">
        <v>17</v>
      </c>
      <c r="E142" s="3">
        <v>34</v>
      </c>
      <c r="F142" s="90">
        <v>2</v>
      </c>
    </row>
    <row r="143" spans="1:6" x14ac:dyDescent="0.3">
      <c r="A143" s="1" t="s">
        <v>16</v>
      </c>
      <c r="B143" s="1" t="s">
        <v>5</v>
      </c>
      <c r="C143" s="1">
        <v>0</v>
      </c>
      <c r="D143" s="1">
        <v>6</v>
      </c>
      <c r="E143" s="3">
        <v>0</v>
      </c>
      <c r="F143" s="90">
        <v>0</v>
      </c>
    </row>
    <row r="144" spans="1:6" x14ac:dyDescent="0.3">
      <c r="A144" s="1" t="s">
        <v>16</v>
      </c>
      <c r="B144" s="1" t="s">
        <v>5</v>
      </c>
      <c r="C144" s="1">
        <v>11</v>
      </c>
      <c r="D144" s="1">
        <v>49</v>
      </c>
      <c r="E144" s="3">
        <v>392</v>
      </c>
      <c r="F144" s="90">
        <v>8</v>
      </c>
    </row>
    <row r="145" spans="1:6" x14ac:dyDescent="0.3">
      <c r="A145" s="1" t="s">
        <v>16</v>
      </c>
      <c r="B145" s="1" t="s">
        <v>5</v>
      </c>
      <c r="C145" s="1">
        <v>12</v>
      </c>
      <c r="D145" s="1">
        <v>50</v>
      </c>
      <c r="E145" s="3">
        <v>500</v>
      </c>
      <c r="F145" s="90">
        <v>10</v>
      </c>
    </row>
    <row r="146" spans="1:6" x14ac:dyDescent="0.3">
      <c r="A146" s="1" t="s">
        <v>16</v>
      </c>
      <c r="B146" s="1" t="s">
        <v>5</v>
      </c>
      <c r="C146" s="1">
        <v>13</v>
      </c>
      <c r="D146" s="1">
        <v>1</v>
      </c>
      <c r="E146" s="3">
        <v>4</v>
      </c>
      <c r="F146" s="90">
        <v>4</v>
      </c>
    </row>
    <row r="147" spans="1:6" x14ac:dyDescent="0.3">
      <c r="A147" s="1" t="s">
        <v>16</v>
      </c>
      <c r="B147" s="1" t="s">
        <v>5</v>
      </c>
      <c r="C147" s="1">
        <v>14</v>
      </c>
      <c r="D147" s="1">
        <v>1</v>
      </c>
      <c r="E147" s="3">
        <v>10</v>
      </c>
      <c r="F147" s="90">
        <v>10</v>
      </c>
    </row>
    <row r="148" spans="1:6" x14ac:dyDescent="0.3">
      <c r="A148" s="1" t="s">
        <v>16</v>
      </c>
      <c r="B148" s="1" t="s">
        <v>5</v>
      </c>
      <c r="C148" s="1">
        <v>15</v>
      </c>
      <c r="D148" s="1">
        <v>6</v>
      </c>
      <c r="E148" s="3">
        <v>12</v>
      </c>
      <c r="F148" s="90">
        <v>2</v>
      </c>
    </row>
    <row r="149" spans="1:6" x14ac:dyDescent="0.3">
      <c r="A149" s="1" t="s">
        <v>17</v>
      </c>
      <c r="B149" s="1" t="s">
        <v>184</v>
      </c>
      <c r="C149" s="1">
        <v>0</v>
      </c>
      <c r="D149" s="1">
        <v>4</v>
      </c>
      <c r="E149" s="3">
        <v>0</v>
      </c>
      <c r="F149" s="90">
        <v>0</v>
      </c>
    </row>
    <row r="150" spans="1:6" x14ac:dyDescent="0.3">
      <c r="A150" s="1" t="s">
        <v>17</v>
      </c>
      <c r="B150" s="1" t="s">
        <v>184</v>
      </c>
      <c r="C150" s="1">
        <v>21</v>
      </c>
      <c r="D150" s="1">
        <v>190</v>
      </c>
      <c r="E150" s="3">
        <v>760</v>
      </c>
      <c r="F150" s="90">
        <v>4</v>
      </c>
    </row>
    <row r="151" spans="1:6" x14ac:dyDescent="0.3">
      <c r="A151" s="1" t="s">
        <v>17</v>
      </c>
      <c r="B151" s="1" t="s">
        <v>184</v>
      </c>
      <c r="C151" s="1">
        <v>22</v>
      </c>
      <c r="D151" s="1">
        <v>193</v>
      </c>
      <c r="E151" s="3">
        <v>772</v>
      </c>
      <c r="F151" s="90">
        <v>4</v>
      </c>
    </row>
    <row r="152" spans="1:6" x14ac:dyDescent="0.3">
      <c r="A152" s="1" t="s">
        <v>17</v>
      </c>
      <c r="B152" s="1" t="s">
        <v>184</v>
      </c>
      <c r="C152" s="1">
        <v>24</v>
      </c>
      <c r="D152" s="1">
        <v>3</v>
      </c>
      <c r="E152" s="3">
        <v>24</v>
      </c>
      <c r="F152" s="90">
        <v>8</v>
      </c>
    </row>
    <row r="153" spans="1:6" x14ac:dyDescent="0.3">
      <c r="A153" s="1" t="s">
        <v>17</v>
      </c>
      <c r="B153" s="1" t="s">
        <v>184</v>
      </c>
      <c r="C153" s="1">
        <v>26</v>
      </c>
      <c r="D153" s="1">
        <v>1</v>
      </c>
      <c r="E153" s="3">
        <v>8</v>
      </c>
      <c r="F153" s="90">
        <v>8</v>
      </c>
    </row>
    <row r="154" spans="1:6" x14ac:dyDescent="0.3">
      <c r="A154" s="1" t="s">
        <v>17</v>
      </c>
      <c r="B154" s="1" t="s">
        <v>183</v>
      </c>
      <c r="C154" s="1">
        <v>0</v>
      </c>
      <c r="D154" s="1">
        <v>7</v>
      </c>
      <c r="E154" s="3">
        <v>0</v>
      </c>
      <c r="F154" s="90">
        <v>0</v>
      </c>
    </row>
    <row r="155" spans="1:6" x14ac:dyDescent="0.3">
      <c r="A155" s="1" t="s">
        <v>17</v>
      </c>
      <c r="B155" s="1" t="s">
        <v>183</v>
      </c>
      <c r="C155" s="1">
        <v>31</v>
      </c>
      <c r="D155" s="1">
        <v>489</v>
      </c>
      <c r="E155" s="3">
        <v>3912</v>
      </c>
      <c r="F155" s="90">
        <v>8</v>
      </c>
    </row>
    <row r="156" spans="1:6" x14ac:dyDescent="0.3">
      <c r="A156" s="1" t="s">
        <v>17</v>
      </c>
      <c r="B156" s="1" t="s">
        <v>183</v>
      </c>
      <c r="C156" s="1">
        <v>32</v>
      </c>
      <c r="D156" s="1">
        <v>379</v>
      </c>
      <c r="E156" s="3">
        <v>3790</v>
      </c>
      <c r="F156" s="90">
        <v>10</v>
      </c>
    </row>
    <row r="157" spans="1:6" x14ac:dyDescent="0.3">
      <c r="A157" s="1" t="s">
        <v>17</v>
      </c>
      <c r="B157" s="1" t="s">
        <v>183</v>
      </c>
      <c r="C157" s="1">
        <v>35</v>
      </c>
      <c r="D157" s="1">
        <v>55</v>
      </c>
      <c r="E157" s="3">
        <v>396</v>
      </c>
      <c r="F157" s="90">
        <v>7.2</v>
      </c>
    </row>
    <row r="158" spans="1:6" x14ac:dyDescent="0.3">
      <c r="A158" s="1" t="s">
        <v>17</v>
      </c>
      <c r="B158" s="1" t="s">
        <v>159</v>
      </c>
      <c r="C158" s="1">
        <v>41</v>
      </c>
      <c r="D158" s="1">
        <v>2</v>
      </c>
      <c r="E158" s="3">
        <v>4</v>
      </c>
      <c r="F158" s="90">
        <v>2</v>
      </c>
    </row>
    <row r="159" spans="1:6" x14ac:dyDescent="0.3">
      <c r="A159" s="1" t="s">
        <v>17</v>
      </c>
      <c r="B159" s="1" t="s">
        <v>159</v>
      </c>
      <c r="C159" s="1">
        <v>42</v>
      </c>
      <c r="D159" s="1">
        <v>146</v>
      </c>
      <c r="E159" s="3">
        <v>292</v>
      </c>
      <c r="F159" s="90">
        <v>2</v>
      </c>
    </row>
    <row r="160" spans="1:6" x14ac:dyDescent="0.3">
      <c r="A160" s="1" t="s">
        <v>17</v>
      </c>
      <c r="B160" s="1" t="s">
        <v>5</v>
      </c>
      <c r="C160" s="1">
        <v>0</v>
      </c>
      <c r="D160" s="1">
        <v>476</v>
      </c>
      <c r="E160" s="3">
        <v>0</v>
      </c>
      <c r="F160" s="90">
        <v>0</v>
      </c>
    </row>
    <row r="161" spans="1:6" x14ac:dyDescent="0.3">
      <c r="A161" s="1" t="s">
        <v>17</v>
      </c>
      <c r="B161" s="1" t="s">
        <v>5</v>
      </c>
      <c r="C161" s="1">
        <v>11</v>
      </c>
      <c r="D161" s="1">
        <v>3191</v>
      </c>
      <c r="E161" s="3">
        <v>25528</v>
      </c>
      <c r="F161" s="90">
        <v>8</v>
      </c>
    </row>
    <row r="162" spans="1:6" x14ac:dyDescent="0.3">
      <c r="A162" s="1" t="s">
        <v>17</v>
      </c>
      <c r="B162" s="1" t="s">
        <v>5</v>
      </c>
      <c r="C162" s="1">
        <v>12</v>
      </c>
      <c r="D162" s="1">
        <v>1851</v>
      </c>
      <c r="E162" s="3">
        <v>14808</v>
      </c>
      <c r="F162" s="90">
        <v>8</v>
      </c>
    </row>
    <row r="163" spans="1:6" x14ac:dyDescent="0.3">
      <c r="A163" s="1" t="s">
        <v>17</v>
      </c>
      <c r="B163" s="1" t="s">
        <v>5</v>
      </c>
      <c r="C163" s="1">
        <v>13</v>
      </c>
      <c r="D163" s="1">
        <v>56</v>
      </c>
      <c r="E163" s="3">
        <v>286.39999999999998</v>
      </c>
      <c r="F163" s="90">
        <v>5.1142857142857103</v>
      </c>
    </row>
    <row r="164" spans="1:6" x14ac:dyDescent="0.3">
      <c r="A164" s="1" t="s">
        <v>17</v>
      </c>
      <c r="B164" s="1" t="s">
        <v>5</v>
      </c>
      <c r="C164" s="1">
        <v>14</v>
      </c>
      <c r="D164" s="1">
        <v>11</v>
      </c>
      <c r="E164" s="3">
        <v>142</v>
      </c>
      <c r="F164" s="90">
        <v>12.909090909090899</v>
      </c>
    </row>
    <row r="165" spans="1:6" x14ac:dyDescent="0.3">
      <c r="A165" s="1" t="s">
        <v>17</v>
      </c>
      <c r="B165" s="1" t="s">
        <v>5</v>
      </c>
      <c r="C165" s="1">
        <v>15</v>
      </c>
      <c r="D165" s="1">
        <v>40</v>
      </c>
      <c r="E165" s="3">
        <v>152.80000000000001</v>
      </c>
      <c r="F165" s="90">
        <v>3.82</v>
      </c>
    </row>
    <row r="166" spans="1:6" x14ac:dyDescent="0.3">
      <c r="A166" s="1" t="s">
        <v>17</v>
      </c>
      <c r="B166" s="1" t="s">
        <v>5</v>
      </c>
      <c r="C166" s="1">
        <v>16</v>
      </c>
      <c r="D166" s="1">
        <v>11</v>
      </c>
      <c r="E166" s="3">
        <v>159</v>
      </c>
      <c r="F166" s="90">
        <v>14.454545454545499</v>
      </c>
    </row>
    <row r="167" spans="1:6" x14ac:dyDescent="0.3">
      <c r="A167" s="1" t="s">
        <v>18</v>
      </c>
      <c r="B167" s="1" t="s">
        <v>184</v>
      </c>
      <c r="C167" s="1">
        <v>21</v>
      </c>
      <c r="D167" s="1">
        <v>10</v>
      </c>
      <c r="E167" s="3">
        <v>40</v>
      </c>
      <c r="F167" s="90">
        <v>4</v>
      </c>
    </row>
    <row r="168" spans="1:6" x14ac:dyDescent="0.3">
      <c r="A168" s="1" t="s">
        <v>18</v>
      </c>
      <c r="B168" s="1" t="s">
        <v>184</v>
      </c>
      <c r="C168" s="1">
        <v>22</v>
      </c>
      <c r="D168" s="1">
        <v>10</v>
      </c>
      <c r="E168" s="3">
        <v>40</v>
      </c>
      <c r="F168" s="90">
        <v>4</v>
      </c>
    </row>
    <row r="169" spans="1:6" x14ac:dyDescent="0.3">
      <c r="A169" s="1" t="s">
        <v>18</v>
      </c>
      <c r="B169" s="1" t="s">
        <v>183</v>
      </c>
      <c r="C169" s="1">
        <v>31</v>
      </c>
      <c r="D169" s="1">
        <v>24</v>
      </c>
      <c r="E169" s="3">
        <v>192</v>
      </c>
      <c r="F169" s="90">
        <v>8</v>
      </c>
    </row>
    <row r="170" spans="1:6" x14ac:dyDescent="0.3">
      <c r="A170" s="1" t="s">
        <v>18</v>
      </c>
      <c r="B170" s="1" t="s">
        <v>183</v>
      </c>
      <c r="C170" s="1">
        <v>32</v>
      </c>
      <c r="D170" s="1">
        <v>20</v>
      </c>
      <c r="E170" s="3">
        <v>200</v>
      </c>
      <c r="F170" s="90">
        <v>10</v>
      </c>
    </row>
    <row r="171" spans="1:6" x14ac:dyDescent="0.3">
      <c r="A171" s="1" t="s">
        <v>18</v>
      </c>
      <c r="B171" s="1" t="s">
        <v>159</v>
      </c>
      <c r="C171" s="1">
        <v>41</v>
      </c>
      <c r="D171" s="1">
        <v>1</v>
      </c>
      <c r="E171" s="3">
        <v>2</v>
      </c>
      <c r="F171" s="90">
        <v>2</v>
      </c>
    </row>
    <row r="172" spans="1:6" x14ac:dyDescent="0.3">
      <c r="A172" s="1" t="s">
        <v>18</v>
      </c>
      <c r="B172" s="1" t="s">
        <v>159</v>
      </c>
      <c r="C172" s="1">
        <v>42</v>
      </c>
      <c r="D172" s="1">
        <v>3</v>
      </c>
      <c r="E172" s="3">
        <v>6</v>
      </c>
      <c r="F172" s="90">
        <v>2</v>
      </c>
    </row>
    <row r="173" spans="1:6" x14ac:dyDescent="0.3">
      <c r="A173" s="1" t="s">
        <v>18</v>
      </c>
      <c r="B173" s="1" t="s">
        <v>5</v>
      </c>
      <c r="C173" s="1">
        <v>0</v>
      </c>
      <c r="D173" s="1">
        <v>6</v>
      </c>
      <c r="E173" s="3">
        <v>0</v>
      </c>
      <c r="F173" s="90">
        <v>0</v>
      </c>
    </row>
    <row r="174" spans="1:6" x14ac:dyDescent="0.3">
      <c r="A174" s="1" t="s">
        <v>18</v>
      </c>
      <c r="B174" s="1" t="s">
        <v>5</v>
      </c>
      <c r="C174" s="1">
        <v>11</v>
      </c>
      <c r="D174" s="1">
        <v>106</v>
      </c>
      <c r="E174" s="3">
        <v>848</v>
      </c>
      <c r="F174" s="90">
        <v>8</v>
      </c>
    </row>
    <row r="175" spans="1:6" x14ac:dyDescent="0.3">
      <c r="A175" s="1" t="s">
        <v>18</v>
      </c>
      <c r="B175" s="1" t="s">
        <v>5</v>
      </c>
      <c r="C175" s="1">
        <v>12</v>
      </c>
      <c r="D175" s="1">
        <v>43</v>
      </c>
      <c r="E175" s="3">
        <v>430</v>
      </c>
      <c r="F175" s="90">
        <v>10</v>
      </c>
    </row>
    <row r="176" spans="1:6" x14ac:dyDescent="0.3">
      <c r="A176" s="1" t="s">
        <v>18</v>
      </c>
      <c r="B176" s="1" t="s">
        <v>5</v>
      </c>
      <c r="C176" s="1">
        <v>13</v>
      </c>
      <c r="D176" s="1">
        <v>5</v>
      </c>
      <c r="E176" s="3">
        <v>29.5</v>
      </c>
      <c r="F176" s="90">
        <v>5.9</v>
      </c>
    </row>
    <row r="177" spans="1:6" x14ac:dyDescent="0.3">
      <c r="A177" s="1" t="s">
        <v>18</v>
      </c>
      <c r="B177" s="1" t="s">
        <v>5</v>
      </c>
      <c r="C177" s="1">
        <v>14</v>
      </c>
      <c r="D177" s="1">
        <v>1</v>
      </c>
      <c r="E177" s="3">
        <v>12</v>
      </c>
      <c r="F177" s="90">
        <v>12</v>
      </c>
    </row>
    <row r="178" spans="1:6" x14ac:dyDescent="0.3">
      <c r="A178" s="1" t="s">
        <v>18</v>
      </c>
      <c r="B178" s="1" t="s">
        <v>5</v>
      </c>
      <c r="C178" s="1">
        <v>15</v>
      </c>
      <c r="D178" s="1">
        <v>3</v>
      </c>
      <c r="E178" s="3">
        <v>22.5</v>
      </c>
      <c r="F178" s="90">
        <v>7.5</v>
      </c>
    </row>
    <row r="179" spans="1:6" x14ac:dyDescent="0.3">
      <c r="A179" s="1" t="s">
        <v>19</v>
      </c>
      <c r="B179" s="1" t="s">
        <v>184</v>
      </c>
      <c r="C179" s="1">
        <v>21</v>
      </c>
      <c r="D179" s="1">
        <v>1</v>
      </c>
      <c r="E179" s="3">
        <v>4</v>
      </c>
      <c r="F179" s="90">
        <v>4</v>
      </c>
    </row>
    <row r="180" spans="1:6" x14ac:dyDescent="0.3">
      <c r="A180" s="1" t="s">
        <v>19</v>
      </c>
      <c r="B180" s="1" t="s">
        <v>183</v>
      </c>
      <c r="C180" s="1">
        <v>32</v>
      </c>
      <c r="D180" s="1">
        <v>1</v>
      </c>
      <c r="E180" s="3">
        <v>10</v>
      </c>
      <c r="F180" s="90">
        <v>10</v>
      </c>
    </row>
    <row r="181" spans="1:6" x14ac:dyDescent="0.3">
      <c r="A181" s="1" t="s">
        <v>19</v>
      </c>
      <c r="B181" s="1" t="s">
        <v>5</v>
      </c>
      <c r="C181" s="1">
        <v>0</v>
      </c>
      <c r="D181" s="1">
        <v>2</v>
      </c>
      <c r="E181" s="3">
        <v>0</v>
      </c>
      <c r="F181" s="90">
        <v>0</v>
      </c>
    </row>
    <row r="182" spans="1:6" x14ac:dyDescent="0.3">
      <c r="A182" s="1" t="s">
        <v>19</v>
      </c>
      <c r="B182" s="1" t="s">
        <v>5</v>
      </c>
      <c r="C182" s="1">
        <v>11</v>
      </c>
      <c r="D182" s="1">
        <v>4</v>
      </c>
      <c r="E182" s="3">
        <v>44</v>
      </c>
      <c r="F182" s="90">
        <v>11</v>
      </c>
    </row>
    <row r="183" spans="1:6" x14ac:dyDescent="0.3">
      <c r="A183" s="1" t="s">
        <v>19</v>
      </c>
      <c r="B183" s="1" t="s">
        <v>5</v>
      </c>
      <c r="C183" s="1">
        <v>12</v>
      </c>
      <c r="D183" s="1">
        <v>5</v>
      </c>
      <c r="E183" s="3">
        <v>75</v>
      </c>
      <c r="F183" s="90">
        <v>15</v>
      </c>
    </row>
    <row r="184" spans="1:6" x14ac:dyDescent="0.3">
      <c r="A184" s="1" t="s">
        <v>19</v>
      </c>
      <c r="B184" s="1" t="s">
        <v>5</v>
      </c>
      <c r="C184" s="1">
        <v>14</v>
      </c>
      <c r="D184" s="1">
        <v>1</v>
      </c>
      <c r="E184" s="3">
        <v>22.5</v>
      </c>
      <c r="F184" s="90">
        <v>22.5</v>
      </c>
    </row>
    <row r="185" spans="1:6" x14ac:dyDescent="0.3">
      <c r="A185" s="1" t="s">
        <v>20</v>
      </c>
      <c r="B185" s="1" t="s">
        <v>184</v>
      </c>
      <c r="C185" s="1">
        <v>0</v>
      </c>
      <c r="D185" s="1">
        <v>6</v>
      </c>
      <c r="E185" s="3">
        <v>0</v>
      </c>
      <c r="F185" s="90">
        <v>0</v>
      </c>
    </row>
    <row r="186" spans="1:6" x14ac:dyDescent="0.3">
      <c r="A186" s="1" t="s">
        <v>20</v>
      </c>
      <c r="B186" s="1" t="s">
        <v>184</v>
      </c>
      <c r="C186" s="1">
        <v>21</v>
      </c>
      <c r="D186" s="1">
        <v>102</v>
      </c>
      <c r="E186" s="3">
        <v>408</v>
      </c>
      <c r="F186" s="90">
        <v>4</v>
      </c>
    </row>
    <row r="187" spans="1:6" x14ac:dyDescent="0.3">
      <c r="A187" s="1" t="s">
        <v>20</v>
      </c>
      <c r="B187" s="1" t="s">
        <v>184</v>
      </c>
      <c r="C187" s="1">
        <v>22</v>
      </c>
      <c r="D187" s="1">
        <v>85</v>
      </c>
      <c r="E187" s="3">
        <v>340</v>
      </c>
      <c r="F187" s="90">
        <v>4</v>
      </c>
    </row>
    <row r="188" spans="1:6" x14ac:dyDescent="0.3">
      <c r="A188" s="1" t="s">
        <v>20</v>
      </c>
      <c r="B188" s="1" t="s">
        <v>184</v>
      </c>
      <c r="C188" s="1">
        <v>24</v>
      </c>
      <c r="D188" s="1">
        <v>2</v>
      </c>
      <c r="E188" s="3">
        <v>14</v>
      </c>
      <c r="F188" s="90">
        <v>7</v>
      </c>
    </row>
    <row r="189" spans="1:6" x14ac:dyDescent="0.3">
      <c r="A189" s="1" t="s">
        <v>20</v>
      </c>
      <c r="B189" s="1" t="s">
        <v>184</v>
      </c>
      <c r="C189" s="1">
        <v>26</v>
      </c>
      <c r="D189" s="1">
        <v>2</v>
      </c>
      <c r="E189" s="3">
        <v>16.8</v>
      </c>
      <c r="F189" s="90">
        <v>8.4</v>
      </c>
    </row>
    <row r="190" spans="1:6" x14ac:dyDescent="0.3">
      <c r="A190" s="1" t="s">
        <v>20</v>
      </c>
      <c r="B190" s="1" t="s">
        <v>183</v>
      </c>
      <c r="C190" s="1">
        <v>0</v>
      </c>
      <c r="D190" s="1">
        <v>2</v>
      </c>
      <c r="E190" s="3">
        <v>0</v>
      </c>
      <c r="F190" s="90">
        <v>0</v>
      </c>
    </row>
    <row r="191" spans="1:6" x14ac:dyDescent="0.3">
      <c r="A191" s="1" t="s">
        <v>20</v>
      </c>
      <c r="B191" s="1" t="s">
        <v>183</v>
      </c>
      <c r="C191" s="1">
        <v>31</v>
      </c>
      <c r="D191" s="1">
        <v>314</v>
      </c>
      <c r="E191" s="3">
        <v>2512</v>
      </c>
      <c r="F191" s="90">
        <v>8</v>
      </c>
    </row>
    <row r="192" spans="1:6" x14ac:dyDescent="0.3">
      <c r="A192" s="1" t="s">
        <v>20</v>
      </c>
      <c r="B192" s="1" t="s">
        <v>183</v>
      </c>
      <c r="C192" s="1">
        <v>32</v>
      </c>
      <c r="D192" s="1">
        <v>158</v>
      </c>
      <c r="E192" s="3">
        <v>1580</v>
      </c>
      <c r="F192" s="90">
        <v>10</v>
      </c>
    </row>
    <row r="193" spans="1:6" x14ac:dyDescent="0.3">
      <c r="A193" s="1" t="s">
        <v>20</v>
      </c>
      <c r="B193" s="1" t="s">
        <v>183</v>
      </c>
      <c r="C193" s="1">
        <v>35</v>
      </c>
      <c r="D193" s="1">
        <v>27</v>
      </c>
      <c r="E193" s="3">
        <v>207.8</v>
      </c>
      <c r="F193" s="90">
        <v>7.6962962962962997</v>
      </c>
    </row>
    <row r="194" spans="1:6" x14ac:dyDescent="0.3">
      <c r="A194" s="1" t="s">
        <v>20</v>
      </c>
      <c r="B194" s="1" t="s">
        <v>159</v>
      </c>
      <c r="C194" s="1">
        <v>42</v>
      </c>
      <c r="D194" s="1">
        <v>130</v>
      </c>
      <c r="E194" s="3">
        <v>260</v>
      </c>
      <c r="F194" s="90">
        <v>2</v>
      </c>
    </row>
    <row r="195" spans="1:6" x14ac:dyDescent="0.3">
      <c r="A195" s="1" t="s">
        <v>20</v>
      </c>
      <c r="B195" s="1" t="s">
        <v>5</v>
      </c>
      <c r="C195" s="1">
        <v>0</v>
      </c>
      <c r="D195" s="1">
        <v>189</v>
      </c>
      <c r="E195" s="3">
        <v>0</v>
      </c>
      <c r="F195" s="90">
        <v>0</v>
      </c>
    </row>
    <row r="196" spans="1:6" x14ac:dyDescent="0.3">
      <c r="A196" s="1" t="s">
        <v>20</v>
      </c>
      <c r="B196" s="1" t="s">
        <v>5</v>
      </c>
      <c r="C196" s="1">
        <v>11</v>
      </c>
      <c r="D196" s="1">
        <v>1466</v>
      </c>
      <c r="E196" s="3">
        <v>11728</v>
      </c>
      <c r="F196" s="90">
        <v>8</v>
      </c>
    </row>
    <row r="197" spans="1:6" x14ac:dyDescent="0.3">
      <c r="A197" s="1" t="s">
        <v>20</v>
      </c>
      <c r="B197" s="1" t="s">
        <v>5</v>
      </c>
      <c r="C197" s="1">
        <v>12</v>
      </c>
      <c r="D197" s="1">
        <v>920</v>
      </c>
      <c r="E197" s="3">
        <v>8280</v>
      </c>
      <c r="F197" s="90">
        <v>9</v>
      </c>
    </row>
    <row r="198" spans="1:6" x14ac:dyDescent="0.3">
      <c r="A198" s="1" t="s">
        <v>20</v>
      </c>
      <c r="B198" s="1" t="s">
        <v>5</v>
      </c>
      <c r="C198" s="1">
        <v>13</v>
      </c>
      <c r="D198" s="1">
        <v>34</v>
      </c>
      <c r="E198" s="3">
        <v>148.6</v>
      </c>
      <c r="F198" s="90">
        <v>4.3705882352941199</v>
      </c>
    </row>
    <row r="199" spans="1:6" x14ac:dyDescent="0.3">
      <c r="A199" s="1" t="s">
        <v>20</v>
      </c>
      <c r="B199" s="1" t="s">
        <v>5</v>
      </c>
      <c r="C199" s="1">
        <v>14</v>
      </c>
      <c r="D199" s="1">
        <v>8</v>
      </c>
      <c r="E199" s="3">
        <v>121.5</v>
      </c>
      <c r="F199" s="90">
        <v>15.1875</v>
      </c>
    </row>
    <row r="200" spans="1:6" x14ac:dyDescent="0.3">
      <c r="A200" s="1" t="s">
        <v>20</v>
      </c>
      <c r="B200" s="1" t="s">
        <v>5</v>
      </c>
      <c r="C200" s="1">
        <v>15</v>
      </c>
      <c r="D200" s="1">
        <v>25</v>
      </c>
      <c r="E200" s="3">
        <v>88.4</v>
      </c>
      <c r="F200" s="90">
        <v>3.536</v>
      </c>
    </row>
    <row r="201" spans="1:6" x14ac:dyDescent="0.3">
      <c r="A201" s="1" t="s">
        <v>20</v>
      </c>
      <c r="B201" s="1" t="s">
        <v>5</v>
      </c>
      <c r="C201" s="1">
        <v>16</v>
      </c>
      <c r="D201" s="1">
        <v>1</v>
      </c>
      <c r="E201" s="3">
        <v>10</v>
      </c>
      <c r="F201" s="90">
        <v>10</v>
      </c>
    </row>
    <row r="202" spans="1:6" x14ac:dyDescent="0.3">
      <c r="A202" s="1" t="s">
        <v>21</v>
      </c>
      <c r="B202" s="1" t="s">
        <v>184</v>
      </c>
      <c r="C202" s="1">
        <v>0</v>
      </c>
      <c r="D202" s="1">
        <v>1</v>
      </c>
      <c r="E202" s="3">
        <v>0</v>
      </c>
      <c r="F202" s="90">
        <v>0</v>
      </c>
    </row>
    <row r="203" spans="1:6" x14ac:dyDescent="0.3">
      <c r="A203" s="1" t="s">
        <v>21</v>
      </c>
      <c r="B203" s="1" t="s">
        <v>184</v>
      </c>
      <c r="C203" s="1">
        <v>21</v>
      </c>
      <c r="D203" s="1">
        <v>9</v>
      </c>
      <c r="E203" s="3">
        <v>36</v>
      </c>
      <c r="F203" s="90">
        <v>4</v>
      </c>
    </row>
    <row r="204" spans="1:6" x14ac:dyDescent="0.3">
      <c r="A204" s="1" t="s">
        <v>21</v>
      </c>
      <c r="B204" s="1" t="s">
        <v>184</v>
      </c>
      <c r="C204" s="1">
        <v>22</v>
      </c>
      <c r="D204" s="1">
        <v>9</v>
      </c>
      <c r="E204" s="3">
        <v>36</v>
      </c>
      <c r="F204" s="90">
        <v>4</v>
      </c>
    </row>
    <row r="205" spans="1:6" x14ac:dyDescent="0.3">
      <c r="A205" s="1" t="s">
        <v>21</v>
      </c>
      <c r="B205" s="1" t="s">
        <v>183</v>
      </c>
      <c r="C205" s="1">
        <v>31</v>
      </c>
      <c r="D205" s="1">
        <v>32</v>
      </c>
      <c r="E205" s="3">
        <v>256</v>
      </c>
      <c r="F205" s="90">
        <v>8</v>
      </c>
    </row>
    <row r="206" spans="1:6" x14ac:dyDescent="0.3">
      <c r="A206" s="1" t="s">
        <v>21</v>
      </c>
      <c r="B206" s="1" t="s">
        <v>183</v>
      </c>
      <c r="C206" s="1">
        <v>32</v>
      </c>
      <c r="D206" s="1">
        <v>20</v>
      </c>
      <c r="E206" s="3">
        <v>200</v>
      </c>
      <c r="F206" s="90">
        <v>10</v>
      </c>
    </row>
    <row r="207" spans="1:6" x14ac:dyDescent="0.3">
      <c r="A207" s="1" t="s">
        <v>21</v>
      </c>
      <c r="B207" s="1" t="s">
        <v>183</v>
      </c>
      <c r="C207" s="1">
        <v>33</v>
      </c>
      <c r="D207" s="1">
        <v>1</v>
      </c>
      <c r="E207" s="3">
        <v>6</v>
      </c>
      <c r="F207" s="90">
        <v>6</v>
      </c>
    </row>
    <row r="208" spans="1:6" x14ac:dyDescent="0.3">
      <c r="A208" s="1" t="s">
        <v>21</v>
      </c>
      <c r="B208" s="1" t="s">
        <v>159</v>
      </c>
      <c r="C208" s="1">
        <v>42</v>
      </c>
      <c r="D208" s="1">
        <v>22</v>
      </c>
      <c r="E208" s="3">
        <v>44</v>
      </c>
      <c r="F208" s="90">
        <v>2</v>
      </c>
    </row>
    <row r="209" spans="1:6" x14ac:dyDescent="0.3">
      <c r="A209" s="1" t="s">
        <v>21</v>
      </c>
      <c r="B209" s="1" t="s">
        <v>5</v>
      </c>
      <c r="C209" s="1">
        <v>0</v>
      </c>
      <c r="D209" s="1">
        <v>17</v>
      </c>
      <c r="E209" s="3">
        <v>0</v>
      </c>
      <c r="F209" s="90">
        <v>0</v>
      </c>
    </row>
    <row r="210" spans="1:6" x14ac:dyDescent="0.3">
      <c r="A210" s="1" t="s">
        <v>21</v>
      </c>
      <c r="B210" s="1" t="s">
        <v>5</v>
      </c>
      <c r="C210" s="1">
        <v>11</v>
      </c>
      <c r="D210" s="1">
        <v>379</v>
      </c>
      <c r="E210" s="3">
        <v>3032</v>
      </c>
      <c r="F210" s="90">
        <v>8</v>
      </c>
    </row>
    <row r="211" spans="1:6" x14ac:dyDescent="0.3">
      <c r="A211" s="1" t="s">
        <v>21</v>
      </c>
      <c r="B211" s="1" t="s">
        <v>5</v>
      </c>
      <c r="C211" s="1">
        <v>12</v>
      </c>
      <c r="D211" s="1">
        <v>232</v>
      </c>
      <c r="E211" s="3">
        <v>2320</v>
      </c>
      <c r="F211" s="90">
        <v>10</v>
      </c>
    </row>
    <row r="212" spans="1:6" x14ac:dyDescent="0.3">
      <c r="A212" s="1" t="s">
        <v>21</v>
      </c>
      <c r="B212" s="1" t="s">
        <v>5</v>
      </c>
      <c r="C212" s="1">
        <v>13</v>
      </c>
      <c r="D212" s="1">
        <v>1</v>
      </c>
      <c r="E212" s="3">
        <v>6</v>
      </c>
      <c r="F212" s="90">
        <v>6</v>
      </c>
    </row>
    <row r="213" spans="1:6" x14ac:dyDescent="0.3">
      <c r="A213" s="1" t="s">
        <v>21</v>
      </c>
      <c r="B213" s="1" t="s">
        <v>5</v>
      </c>
      <c r="C213" s="1">
        <v>15</v>
      </c>
      <c r="D213" s="1">
        <v>2</v>
      </c>
      <c r="E213" s="3">
        <v>4</v>
      </c>
      <c r="F213" s="90">
        <v>2</v>
      </c>
    </row>
    <row r="214" spans="1:6" x14ac:dyDescent="0.3">
      <c r="A214" s="1" t="s">
        <v>22</v>
      </c>
      <c r="B214" s="1" t="s">
        <v>184</v>
      </c>
      <c r="C214" s="1">
        <v>0</v>
      </c>
      <c r="D214" s="1">
        <v>1</v>
      </c>
      <c r="E214" s="3">
        <v>0</v>
      </c>
      <c r="F214" s="90">
        <v>0</v>
      </c>
    </row>
    <row r="215" spans="1:6" x14ac:dyDescent="0.3">
      <c r="A215" s="1" t="s">
        <v>22</v>
      </c>
      <c r="B215" s="1" t="s">
        <v>184</v>
      </c>
      <c r="C215" s="1">
        <v>21</v>
      </c>
      <c r="D215" s="1">
        <v>9</v>
      </c>
      <c r="E215" s="3">
        <v>36</v>
      </c>
      <c r="F215" s="90">
        <v>4</v>
      </c>
    </row>
    <row r="216" spans="1:6" x14ac:dyDescent="0.3">
      <c r="A216" s="1" t="s">
        <v>22</v>
      </c>
      <c r="B216" s="1" t="s">
        <v>184</v>
      </c>
      <c r="C216" s="1">
        <v>22</v>
      </c>
      <c r="D216" s="1">
        <v>16</v>
      </c>
      <c r="E216" s="3">
        <v>64</v>
      </c>
      <c r="F216" s="90">
        <v>4</v>
      </c>
    </row>
    <row r="217" spans="1:6" x14ac:dyDescent="0.3">
      <c r="A217" s="1" t="s">
        <v>22</v>
      </c>
      <c r="B217" s="1" t="s">
        <v>183</v>
      </c>
      <c r="C217" s="1">
        <v>0</v>
      </c>
      <c r="D217" s="1">
        <v>1</v>
      </c>
      <c r="E217" s="3">
        <v>0</v>
      </c>
      <c r="F217" s="90">
        <v>0</v>
      </c>
    </row>
    <row r="218" spans="1:6" x14ac:dyDescent="0.3">
      <c r="A218" s="1" t="s">
        <v>22</v>
      </c>
      <c r="B218" s="1" t="s">
        <v>183</v>
      </c>
      <c r="C218" s="1">
        <v>31</v>
      </c>
      <c r="D218" s="1">
        <v>26</v>
      </c>
      <c r="E218" s="3">
        <v>208</v>
      </c>
      <c r="F218" s="90">
        <v>8</v>
      </c>
    </row>
    <row r="219" spans="1:6" x14ac:dyDescent="0.3">
      <c r="A219" s="1" t="s">
        <v>22</v>
      </c>
      <c r="B219" s="1" t="s">
        <v>183</v>
      </c>
      <c r="C219" s="1">
        <v>32</v>
      </c>
      <c r="D219" s="1">
        <v>27</v>
      </c>
      <c r="E219" s="3">
        <v>270</v>
      </c>
      <c r="F219" s="90">
        <v>10</v>
      </c>
    </row>
    <row r="220" spans="1:6" x14ac:dyDescent="0.3">
      <c r="A220" s="1" t="s">
        <v>22</v>
      </c>
      <c r="B220" s="1" t="s">
        <v>183</v>
      </c>
      <c r="C220" s="1">
        <v>35</v>
      </c>
      <c r="D220" s="1">
        <v>2</v>
      </c>
      <c r="E220" s="3">
        <v>18</v>
      </c>
      <c r="F220" s="90">
        <v>9</v>
      </c>
    </row>
    <row r="221" spans="1:6" x14ac:dyDescent="0.3">
      <c r="A221" s="1" t="s">
        <v>22</v>
      </c>
      <c r="B221" s="1" t="s">
        <v>159</v>
      </c>
      <c r="C221" s="1">
        <v>42</v>
      </c>
      <c r="D221" s="1">
        <v>10</v>
      </c>
      <c r="E221" s="3">
        <v>20</v>
      </c>
      <c r="F221" s="90">
        <v>2</v>
      </c>
    </row>
    <row r="222" spans="1:6" x14ac:dyDescent="0.3">
      <c r="A222" s="1" t="s">
        <v>22</v>
      </c>
      <c r="B222" s="1" t="s">
        <v>5</v>
      </c>
      <c r="C222" s="1">
        <v>0</v>
      </c>
      <c r="D222" s="1">
        <v>36</v>
      </c>
      <c r="E222" s="3">
        <v>0</v>
      </c>
      <c r="F222" s="90">
        <v>0</v>
      </c>
    </row>
    <row r="223" spans="1:6" x14ac:dyDescent="0.3">
      <c r="A223" s="1" t="s">
        <v>22</v>
      </c>
      <c r="B223" s="1" t="s">
        <v>5</v>
      </c>
      <c r="C223" s="1">
        <v>11</v>
      </c>
      <c r="D223" s="1">
        <v>245</v>
      </c>
      <c r="E223" s="3">
        <v>1960</v>
      </c>
      <c r="F223" s="90">
        <v>8</v>
      </c>
    </row>
    <row r="224" spans="1:6" x14ac:dyDescent="0.3">
      <c r="A224" s="1" t="s">
        <v>22</v>
      </c>
      <c r="B224" s="1" t="s">
        <v>5</v>
      </c>
      <c r="C224" s="1">
        <v>12</v>
      </c>
      <c r="D224" s="1">
        <v>209</v>
      </c>
      <c r="E224" s="3">
        <v>1881</v>
      </c>
      <c r="F224" s="90">
        <v>9</v>
      </c>
    </row>
    <row r="225" spans="1:6" x14ac:dyDescent="0.3">
      <c r="A225" s="1" t="s">
        <v>22</v>
      </c>
      <c r="B225" s="1" t="s">
        <v>5</v>
      </c>
      <c r="C225" s="1">
        <v>14</v>
      </c>
      <c r="D225" s="1">
        <v>1</v>
      </c>
      <c r="E225" s="3">
        <v>9</v>
      </c>
      <c r="F225" s="90">
        <v>9</v>
      </c>
    </row>
    <row r="226" spans="1:6" x14ac:dyDescent="0.3">
      <c r="A226" s="1" t="s">
        <v>23</v>
      </c>
      <c r="B226" s="1" t="s">
        <v>184</v>
      </c>
      <c r="C226" s="1">
        <v>0</v>
      </c>
      <c r="D226" s="1">
        <v>3</v>
      </c>
      <c r="E226" s="3">
        <v>0</v>
      </c>
      <c r="F226" s="90">
        <v>0</v>
      </c>
    </row>
    <row r="227" spans="1:6" x14ac:dyDescent="0.3">
      <c r="A227" s="1" t="s">
        <v>23</v>
      </c>
      <c r="B227" s="1" t="s">
        <v>184</v>
      </c>
      <c r="C227" s="1">
        <v>21</v>
      </c>
      <c r="D227" s="1">
        <v>76</v>
      </c>
      <c r="E227" s="3">
        <v>304</v>
      </c>
      <c r="F227" s="90">
        <v>4</v>
      </c>
    </row>
    <row r="228" spans="1:6" x14ac:dyDescent="0.3">
      <c r="A228" s="1" t="s">
        <v>23</v>
      </c>
      <c r="B228" s="1" t="s">
        <v>184</v>
      </c>
      <c r="C228" s="1">
        <v>22</v>
      </c>
      <c r="D228" s="1">
        <v>69</v>
      </c>
      <c r="E228" s="3">
        <v>276</v>
      </c>
      <c r="F228" s="90">
        <v>4</v>
      </c>
    </row>
    <row r="229" spans="1:6" x14ac:dyDescent="0.3">
      <c r="A229" s="1" t="s">
        <v>23</v>
      </c>
      <c r="B229" s="1" t="s">
        <v>184</v>
      </c>
      <c r="C229" s="1">
        <v>24</v>
      </c>
      <c r="D229" s="1">
        <v>1</v>
      </c>
      <c r="E229" s="3">
        <v>8</v>
      </c>
      <c r="F229" s="90">
        <v>8</v>
      </c>
    </row>
    <row r="230" spans="1:6" x14ac:dyDescent="0.3">
      <c r="A230" s="1" t="s">
        <v>23</v>
      </c>
      <c r="B230" s="1" t="s">
        <v>184</v>
      </c>
      <c r="C230" s="1">
        <v>25</v>
      </c>
      <c r="D230" s="1">
        <v>1</v>
      </c>
      <c r="E230" s="3">
        <v>2</v>
      </c>
      <c r="F230" s="90">
        <v>2</v>
      </c>
    </row>
    <row r="231" spans="1:6" x14ac:dyDescent="0.3">
      <c r="A231" s="1" t="s">
        <v>23</v>
      </c>
      <c r="B231" s="1" t="s">
        <v>183</v>
      </c>
      <c r="C231" s="1">
        <v>0</v>
      </c>
      <c r="D231" s="1">
        <v>1</v>
      </c>
      <c r="E231" s="3">
        <v>0</v>
      </c>
      <c r="F231" s="90">
        <v>0</v>
      </c>
    </row>
    <row r="232" spans="1:6" x14ac:dyDescent="0.3">
      <c r="A232" s="1" t="s">
        <v>23</v>
      </c>
      <c r="B232" s="1" t="s">
        <v>183</v>
      </c>
      <c r="C232" s="1">
        <v>31</v>
      </c>
      <c r="D232" s="1">
        <v>181</v>
      </c>
      <c r="E232" s="3">
        <v>1448</v>
      </c>
      <c r="F232" s="90">
        <v>8</v>
      </c>
    </row>
    <row r="233" spans="1:6" x14ac:dyDescent="0.3">
      <c r="A233" s="1" t="s">
        <v>23</v>
      </c>
      <c r="B233" s="1" t="s">
        <v>183</v>
      </c>
      <c r="C233" s="1">
        <v>32</v>
      </c>
      <c r="D233" s="1">
        <v>162</v>
      </c>
      <c r="E233" s="3">
        <v>1620</v>
      </c>
      <c r="F233" s="90">
        <v>10</v>
      </c>
    </row>
    <row r="234" spans="1:6" x14ac:dyDescent="0.3">
      <c r="A234" s="1" t="s">
        <v>23</v>
      </c>
      <c r="B234" s="1" t="s">
        <v>183</v>
      </c>
      <c r="C234" s="1">
        <v>35</v>
      </c>
      <c r="D234" s="1">
        <v>3</v>
      </c>
      <c r="E234" s="3">
        <v>12</v>
      </c>
      <c r="F234" s="90">
        <v>4</v>
      </c>
    </row>
    <row r="235" spans="1:6" x14ac:dyDescent="0.3">
      <c r="A235" s="1" t="s">
        <v>23</v>
      </c>
      <c r="B235" s="1" t="s">
        <v>159</v>
      </c>
      <c r="C235" s="1">
        <v>42</v>
      </c>
      <c r="D235" s="1">
        <v>81</v>
      </c>
      <c r="E235" s="3">
        <v>162</v>
      </c>
      <c r="F235" s="90">
        <v>2</v>
      </c>
    </row>
    <row r="236" spans="1:6" x14ac:dyDescent="0.3">
      <c r="A236" s="1" t="s">
        <v>23</v>
      </c>
      <c r="B236" s="1" t="s">
        <v>5</v>
      </c>
      <c r="C236" s="1">
        <v>0</v>
      </c>
      <c r="D236" s="1">
        <v>148</v>
      </c>
      <c r="E236" s="3">
        <v>8</v>
      </c>
      <c r="F236" s="90">
        <v>5.4054054054054099E-2</v>
      </c>
    </row>
    <row r="237" spans="1:6" x14ac:dyDescent="0.3">
      <c r="A237" s="1" t="s">
        <v>23</v>
      </c>
      <c r="B237" s="1" t="s">
        <v>5</v>
      </c>
      <c r="C237" s="1">
        <v>11</v>
      </c>
      <c r="D237" s="1">
        <v>2860</v>
      </c>
      <c r="E237" s="3">
        <v>22880</v>
      </c>
      <c r="F237" s="90">
        <v>8</v>
      </c>
    </row>
    <row r="238" spans="1:6" x14ac:dyDescent="0.3">
      <c r="A238" s="1" t="s">
        <v>23</v>
      </c>
      <c r="B238" s="1" t="s">
        <v>5</v>
      </c>
      <c r="C238" s="1">
        <v>12</v>
      </c>
      <c r="D238" s="1">
        <v>1244</v>
      </c>
      <c r="E238" s="3">
        <v>12440</v>
      </c>
      <c r="F238" s="90">
        <v>10</v>
      </c>
    </row>
    <row r="239" spans="1:6" x14ac:dyDescent="0.3">
      <c r="A239" s="1" t="s">
        <v>23</v>
      </c>
      <c r="B239" s="1" t="s">
        <v>5</v>
      </c>
      <c r="C239" s="1">
        <v>13</v>
      </c>
      <c r="D239" s="1">
        <v>1</v>
      </c>
      <c r="E239" s="3">
        <v>4</v>
      </c>
      <c r="F239" s="90">
        <v>4</v>
      </c>
    </row>
    <row r="240" spans="1:6" x14ac:dyDescent="0.3">
      <c r="A240" s="1" t="s">
        <v>23</v>
      </c>
      <c r="B240" s="1" t="s">
        <v>5</v>
      </c>
      <c r="C240" s="1">
        <v>14</v>
      </c>
      <c r="D240" s="1">
        <v>6</v>
      </c>
      <c r="E240" s="3">
        <v>90</v>
      </c>
      <c r="F240" s="90">
        <v>15</v>
      </c>
    </row>
    <row r="241" spans="1:6" x14ac:dyDescent="0.3">
      <c r="A241" s="1" t="s">
        <v>23</v>
      </c>
      <c r="B241" s="1" t="s">
        <v>5</v>
      </c>
      <c r="C241" s="1">
        <v>15</v>
      </c>
      <c r="D241" s="1">
        <v>10</v>
      </c>
      <c r="E241" s="3">
        <v>20</v>
      </c>
      <c r="F241" s="90">
        <v>2</v>
      </c>
    </row>
    <row r="242" spans="1:6" x14ac:dyDescent="0.3">
      <c r="A242" s="1" t="s">
        <v>23</v>
      </c>
      <c r="B242" s="1" t="s">
        <v>5</v>
      </c>
      <c r="C242" s="1">
        <v>16</v>
      </c>
      <c r="D242" s="1">
        <v>3</v>
      </c>
      <c r="E242" s="3">
        <v>54.5</v>
      </c>
      <c r="F242" s="90">
        <v>18.1666666666667</v>
      </c>
    </row>
    <row r="243" spans="1:6" x14ac:dyDescent="0.3">
      <c r="A243" s="1" t="s">
        <v>24</v>
      </c>
      <c r="B243" s="1" t="s">
        <v>184</v>
      </c>
      <c r="C243" s="1">
        <v>0</v>
      </c>
      <c r="D243" s="1">
        <v>1</v>
      </c>
      <c r="E243" s="3">
        <v>0</v>
      </c>
      <c r="F243" s="90">
        <v>0</v>
      </c>
    </row>
    <row r="244" spans="1:6" x14ac:dyDescent="0.3">
      <c r="A244" s="1" t="s">
        <v>24</v>
      </c>
      <c r="B244" s="1" t="s">
        <v>184</v>
      </c>
      <c r="C244" s="1">
        <v>21</v>
      </c>
      <c r="D244" s="1">
        <v>50</v>
      </c>
      <c r="E244" s="3">
        <v>200</v>
      </c>
      <c r="F244" s="90">
        <v>4</v>
      </c>
    </row>
    <row r="245" spans="1:6" x14ac:dyDescent="0.3">
      <c r="A245" s="1" t="s">
        <v>24</v>
      </c>
      <c r="B245" s="1" t="s">
        <v>184</v>
      </c>
      <c r="C245" s="1">
        <v>22</v>
      </c>
      <c r="D245" s="1">
        <v>38</v>
      </c>
      <c r="E245" s="3">
        <v>152</v>
      </c>
      <c r="F245" s="90">
        <v>4</v>
      </c>
    </row>
    <row r="246" spans="1:6" x14ac:dyDescent="0.3">
      <c r="A246" s="1" t="s">
        <v>24</v>
      </c>
      <c r="B246" s="1" t="s">
        <v>183</v>
      </c>
      <c r="C246" s="1">
        <v>0</v>
      </c>
      <c r="D246" s="1">
        <v>1</v>
      </c>
      <c r="E246" s="3">
        <v>0</v>
      </c>
      <c r="F246" s="90">
        <v>0</v>
      </c>
    </row>
    <row r="247" spans="1:6" x14ac:dyDescent="0.3">
      <c r="A247" s="1" t="s">
        <v>24</v>
      </c>
      <c r="B247" s="1" t="s">
        <v>183</v>
      </c>
      <c r="C247" s="1">
        <v>31</v>
      </c>
      <c r="D247" s="1">
        <v>103</v>
      </c>
      <c r="E247" s="3">
        <v>824</v>
      </c>
      <c r="F247" s="90">
        <v>8</v>
      </c>
    </row>
    <row r="248" spans="1:6" x14ac:dyDescent="0.3">
      <c r="A248" s="1" t="s">
        <v>24</v>
      </c>
      <c r="B248" s="1" t="s">
        <v>183</v>
      </c>
      <c r="C248" s="1">
        <v>32</v>
      </c>
      <c r="D248" s="1">
        <v>87</v>
      </c>
      <c r="E248" s="3">
        <v>870</v>
      </c>
      <c r="F248" s="90">
        <v>10</v>
      </c>
    </row>
    <row r="249" spans="1:6" x14ac:dyDescent="0.3">
      <c r="A249" s="1" t="s">
        <v>24</v>
      </c>
      <c r="B249" s="1" t="s">
        <v>183</v>
      </c>
      <c r="C249" s="1">
        <v>35</v>
      </c>
      <c r="D249" s="1">
        <v>1</v>
      </c>
      <c r="E249" s="3">
        <v>2</v>
      </c>
      <c r="F249" s="90">
        <v>2</v>
      </c>
    </row>
    <row r="250" spans="1:6" x14ac:dyDescent="0.3">
      <c r="A250" s="1" t="s">
        <v>24</v>
      </c>
      <c r="B250" s="1" t="s">
        <v>159</v>
      </c>
      <c r="C250" s="1">
        <v>41</v>
      </c>
      <c r="D250" s="1">
        <v>4</v>
      </c>
      <c r="E250" s="3">
        <v>8</v>
      </c>
      <c r="F250" s="90">
        <v>2</v>
      </c>
    </row>
    <row r="251" spans="1:6" x14ac:dyDescent="0.3">
      <c r="A251" s="1" t="s">
        <v>24</v>
      </c>
      <c r="B251" s="1" t="s">
        <v>159</v>
      </c>
      <c r="C251" s="1">
        <v>42</v>
      </c>
      <c r="D251" s="1">
        <v>66</v>
      </c>
      <c r="E251" s="3">
        <v>132</v>
      </c>
      <c r="F251" s="90">
        <v>2</v>
      </c>
    </row>
    <row r="252" spans="1:6" x14ac:dyDescent="0.3">
      <c r="A252" s="1" t="s">
        <v>24</v>
      </c>
      <c r="B252" s="1" t="s">
        <v>5</v>
      </c>
      <c r="C252" s="1">
        <v>0</v>
      </c>
      <c r="D252" s="1">
        <v>124</v>
      </c>
      <c r="E252" s="3">
        <v>0</v>
      </c>
      <c r="F252" s="90">
        <v>0</v>
      </c>
    </row>
    <row r="253" spans="1:6" x14ac:dyDescent="0.3">
      <c r="A253" s="1" t="s">
        <v>24</v>
      </c>
      <c r="B253" s="1" t="s">
        <v>5</v>
      </c>
      <c r="C253" s="1">
        <v>11</v>
      </c>
      <c r="D253" s="1">
        <v>1180</v>
      </c>
      <c r="E253" s="3">
        <v>9440</v>
      </c>
      <c r="F253" s="90">
        <v>8</v>
      </c>
    </row>
    <row r="254" spans="1:6" x14ac:dyDescent="0.3">
      <c r="A254" s="1" t="s">
        <v>24</v>
      </c>
      <c r="B254" s="1" t="s">
        <v>5</v>
      </c>
      <c r="C254" s="1">
        <v>12</v>
      </c>
      <c r="D254" s="1">
        <v>582</v>
      </c>
      <c r="E254" s="3">
        <v>5820</v>
      </c>
      <c r="F254" s="90">
        <v>10</v>
      </c>
    </row>
    <row r="255" spans="1:6" x14ac:dyDescent="0.3">
      <c r="A255" s="1" t="s">
        <v>24</v>
      </c>
      <c r="B255" s="1" t="s">
        <v>5</v>
      </c>
      <c r="C255" s="1">
        <v>13</v>
      </c>
      <c r="D255" s="1">
        <v>8</v>
      </c>
      <c r="E255" s="3">
        <v>42</v>
      </c>
      <c r="F255" s="90">
        <v>5.25</v>
      </c>
    </row>
    <row r="256" spans="1:6" x14ac:dyDescent="0.3">
      <c r="A256" s="1" t="s">
        <v>24</v>
      </c>
      <c r="B256" s="1" t="s">
        <v>5</v>
      </c>
      <c r="C256" s="1">
        <v>14</v>
      </c>
      <c r="D256" s="1">
        <v>6</v>
      </c>
      <c r="E256" s="3">
        <v>95</v>
      </c>
      <c r="F256" s="90">
        <v>15.8333333333333</v>
      </c>
    </row>
    <row r="257" spans="1:6" x14ac:dyDescent="0.3">
      <c r="A257" s="1" t="s">
        <v>24</v>
      </c>
      <c r="B257" s="1" t="s">
        <v>5</v>
      </c>
      <c r="C257" s="1">
        <v>15</v>
      </c>
      <c r="D257" s="1">
        <v>21</v>
      </c>
      <c r="E257" s="3">
        <v>61</v>
      </c>
      <c r="F257" s="90">
        <v>2.9047619047619002</v>
      </c>
    </row>
    <row r="258" spans="1:6" x14ac:dyDescent="0.3">
      <c r="A258" s="1" t="s">
        <v>25</v>
      </c>
      <c r="B258" s="1" t="s">
        <v>184</v>
      </c>
      <c r="C258" s="1">
        <v>21</v>
      </c>
      <c r="D258" s="1">
        <v>3</v>
      </c>
      <c r="E258" s="3">
        <v>12</v>
      </c>
      <c r="F258" s="90">
        <v>4</v>
      </c>
    </row>
    <row r="259" spans="1:6" x14ac:dyDescent="0.3">
      <c r="A259" s="1" t="s">
        <v>25</v>
      </c>
      <c r="B259" s="1" t="s">
        <v>184</v>
      </c>
      <c r="C259" s="1">
        <v>22</v>
      </c>
      <c r="D259" s="1">
        <v>1</v>
      </c>
      <c r="E259" s="3">
        <v>4</v>
      </c>
      <c r="F259" s="90">
        <v>4</v>
      </c>
    </row>
    <row r="260" spans="1:6" x14ac:dyDescent="0.3">
      <c r="A260" s="1" t="s">
        <v>25</v>
      </c>
      <c r="B260" s="1" t="s">
        <v>183</v>
      </c>
      <c r="C260" s="1">
        <v>31</v>
      </c>
      <c r="D260" s="1">
        <v>13</v>
      </c>
      <c r="E260" s="3">
        <v>104</v>
      </c>
      <c r="F260" s="90">
        <v>8</v>
      </c>
    </row>
    <row r="261" spans="1:6" x14ac:dyDescent="0.3">
      <c r="A261" s="1" t="s">
        <v>25</v>
      </c>
      <c r="B261" s="1" t="s">
        <v>183</v>
      </c>
      <c r="C261" s="1">
        <v>32</v>
      </c>
      <c r="D261" s="1">
        <v>3</v>
      </c>
      <c r="E261" s="3">
        <v>30</v>
      </c>
      <c r="F261" s="90">
        <v>10</v>
      </c>
    </row>
    <row r="262" spans="1:6" x14ac:dyDescent="0.3">
      <c r="A262" s="1" t="s">
        <v>25</v>
      </c>
      <c r="B262" s="1" t="s">
        <v>183</v>
      </c>
      <c r="C262" s="1">
        <v>35</v>
      </c>
      <c r="D262" s="1">
        <v>1</v>
      </c>
      <c r="E262" s="3">
        <v>9</v>
      </c>
      <c r="F262" s="90">
        <v>9</v>
      </c>
    </row>
    <row r="263" spans="1:6" x14ac:dyDescent="0.3">
      <c r="A263" s="1" t="s">
        <v>25</v>
      </c>
      <c r="B263" s="1" t="s">
        <v>159</v>
      </c>
      <c r="C263" s="1">
        <v>42</v>
      </c>
      <c r="D263" s="1">
        <v>3</v>
      </c>
      <c r="E263" s="3">
        <v>6</v>
      </c>
      <c r="F263" s="90">
        <v>2</v>
      </c>
    </row>
    <row r="264" spans="1:6" x14ac:dyDescent="0.3">
      <c r="A264" s="1" t="s">
        <v>25</v>
      </c>
      <c r="B264" s="1" t="s">
        <v>5</v>
      </c>
      <c r="C264" s="1">
        <v>0</v>
      </c>
      <c r="D264" s="1">
        <v>5</v>
      </c>
      <c r="E264" s="3">
        <v>0</v>
      </c>
      <c r="F264" s="90">
        <v>0</v>
      </c>
    </row>
    <row r="265" spans="1:6" x14ac:dyDescent="0.3">
      <c r="A265" s="1" t="s">
        <v>25</v>
      </c>
      <c r="B265" s="1" t="s">
        <v>5</v>
      </c>
      <c r="C265" s="1">
        <v>11</v>
      </c>
      <c r="D265" s="1">
        <v>140</v>
      </c>
      <c r="E265" s="3">
        <v>1120</v>
      </c>
      <c r="F265" s="90">
        <v>8</v>
      </c>
    </row>
    <row r="266" spans="1:6" x14ac:dyDescent="0.3">
      <c r="A266" s="1" t="s">
        <v>25</v>
      </c>
      <c r="B266" s="1" t="s">
        <v>5</v>
      </c>
      <c r="C266" s="1">
        <v>12</v>
      </c>
      <c r="D266" s="1">
        <v>73</v>
      </c>
      <c r="E266" s="3">
        <v>657</v>
      </c>
      <c r="F266" s="90">
        <v>9</v>
      </c>
    </row>
    <row r="267" spans="1:6" x14ac:dyDescent="0.3">
      <c r="A267" s="1" t="s">
        <v>25</v>
      </c>
      <c r="B267" s="1" t="s">
        <v>5</v>
      </c>
      <c r="C267" s="1">
        <v>15</v>
      </c>
      <c r="D267" s="1">
        <v>1</v>
      </c>
      <c r="E267" s="3">
        <v>2</v>
      </c>
      <c r="F267" s="90">
        <v>2</v>
      </c>
    </row>
    <row r="268" spans="1:6" x14ac:dyDescent="0.3">
      <c r="A268" s="1" t="s">
        <v>26</v>
      </c>
      <c r="B268" s="1" t="s">
        <v>184</v>
      </c>
      <c r="C268" s="1">
        <v>0</v>
      </c>
      <c r="D268" s="1">
        <v>6</v>
      </c>
      <c r="E268" s="3">
        <v>0</v>
      </c>
      <c r="F268" s="90">
        <v>0</v>
      </c>
    </row>
    <row r="269" spans="1:6" x14ac:dyDescent="0.3">
      <c r="A269" s="1" t="s">
        <v>26</v>
      </c>
      <c r="B269" s="1" t="s">
        <v>184</v>
      </c>
      <c r="C269" s="1">
        <v>21</v>
      </c>
      <c r="D269" s="1">
        <v>82</v>
      </c>
      <c r="E269" s="3">
        <v>328</v>
      </c>
      <c r="F269" s="90">
        <v>4</v>
      </c>
    </row>
    <row r="270" spans="1:6" x14ac:dyDescent="0.3">
      <c r="A270" s="1" t="s">
        <v>26</v>
      </c>
      <c r="B270" s="1" t="s">
        <v>184</v>
      </c>
      <c r="C270" s="1">
        <v>22</v>
      </c>
      <c r="D270" s="1">
        <v>49</v>
      </c>
      <c r="E270" s="3">
        <v>196</v>
      </c>
      <c r="F270" s="90">
        <v>4</v>
      </c>
    </row>
    <row r="271" spans="1:6" x14ac:dyDescent="0.3">
      <c r="A271" s="1" t="s">
        <v>26</v>
      </c>
      <c r="B271" s="1" t="s">
        <v>184</v>
      </c>
      <c r="C271" s="1">
        <v>25</v>
      </c>
      <c r="D271" s="1">
        <v>2</v>
      </c>
      <c r="E271" s="3">
        <v>6</v>
      </c>
      <c r="F271" s="90">
        <v>3</v>
      </c>
    </row>
    <row r="272" spans="1:6" x14ac:dyDescent="0.3">
      <c r="A272" s="1" t="s">
        <v>26</v>
      </c>
      <c r="B272" s="1" t="s">
        <v>183</v>
      </c>
      <c r="C272" s="1">
        <v>0</v>
      </c>
      <c r="D272" s="1">
        <v>5</v>
      </c>
      <c r="E272" s="3">
        <v>0</v>
      </c>
      <c r="F272" s="90">
        <v>0</v>
      </c>
    </row>
    <row r="273" spans="1:6" x14ac:dyDescent="0.3">
      <c r="A273" s="1" t="s">
        <v>26</v>
      </c>
      <c r="B273" s="1" t="s">
        <v>183</v>
      </c>
      <c r="C273" s="1">
        <v>31</v>
      </c>
      <c r="D273" s="1">
        <v>272</v>
      </c>
      <c r="E273" s="3">
        <v>2176</v>
      </c>
      <c r="F273" s="90">
        <v>8</v>
      </c>
    </row>
    <row r="274" spans="1:6" x14ac:dyDescent="0.3">
      <c r="A274" s="1" t="s">
        <v>26</v>
      </c>
      <c r="B274" s="1" t="s">
        <v>183</v>
      </c>
      <c r="C274" s="1">
        <v>32</v>
      </c>
      <c r="D274" s="1">
        <v>117</v>
      </c>
      <c r="E274" s="3">
        <v>1170</v>
      </c>
      <c r="F274" s="90">
        <v>10</v>
      </c>
    </row>
    <row r="275" spans="1:6" x14ac:dyDescent="0.3">
      <c r="A275" s="1" t="s">
        <v>26</v>
      </c>
      <c r="B275" s="1" t="s">
        <v>183</v>
      </c>
      <c r="C275" s="1">
        <v>35</v>
      </c>
      <c r="D275" s="1">
        <v>1</v>
      </c>
      <c r="E275" s="3">
        <v>2</v>
      </c>
      <c r="F275" s="90">
        <v>2</v>
      </c>
    </row>
    <row r="276" spans="1:6" x14ac:dyDescent="0.3">
      <c r="A276" s="1" t="s">
        <v>26</v>
      </c>
      <c r="B276" s="1" t="s">
        <v>159</v>
      </c>
      <c r="C276" s="1">
        <v>41</v>
      </c>
      <c r="D276" s="1">
        <v>1</v>
      </c>
      <c r="E276" s="3">
        <v>2</v>
      </c>
      <c r="F276" s="90">
        <v>2</v>
      </c>
    </row>
    <row r="277" spans="1:6" x14ac:dyDescent="0.3">
      <c r="A277" s="1" t="s">
        <v>26</v>
      </c>
      <c r="B277" s="1" t="s">
        <v>159</v>
      </c>
      <c r="C277" s="1">
        <v>42</v>
      </c>
      <c r="D277" s="1">
        <v>38</v>
      </c>
      <c r="E277" s="3">
        <v>76</v>
      </c>
      <c r="F277" s="90">
        <v>2</v>
      </c>
    </row>
    <row r="278" spans="1:6" x14ac:dyDescent="0.3">
      <c r="A278" s="1" t="s">
        <v>26</v>
      </c>
      <c r="B278" s="1" t="s">
        <v>5</v>
      </c>
      <c r="C278" s="1">
        <v>0</v>
      </c>
      <c r="D278" s="1">
        <v>5</v>
      </c>
      <c r="E278" s="3">
        <v>0</v>
      </c>
      <c r="F278" s="90">
        <v>0</v>
      </c>
    </row>
    <row r="279" spans="1:6" x14ac:dyDescent="0.3">
      <c r="A279" s="1" t="s">
        <v>26</v>
      </c>
      <c r="B279" s="1" t="s">
        <v>5</v>
      </c>
      <c r="C279" s="1">
        <v>10</v>
      </c>
      <c r="D279" s="1">
        <v>8</v>
      </c>
      <c r="E279" s="3">
        <v>0</v>
      </c>
      <c r="F279" s="90">
        <v>0</v>
      </c>
    </row>
    <row r="280" spans="1:6" x14ac:dyDescent="0.3">
      <c r="A280" s="1" t="s">
        <v>26</v>
      </c>
      <c r="B280" s="1" t="s">
        <v>5</v>
      </c>
      <c r="C280" s="1">
        <v>11</v>
      </c>
      <c r="D280" s="1">
        <v>222</v>
      </c>
      <c r="E280" s="3">
        <v>2664</v>
      </c>
      <c r="F280" s="90">
        <v>12</v>
      </c>
    </row>
    <row r="281" spans="1:6" x14ac:dyDescent="0.3">
      <c r="A281" s="1" t="s">
        <v>26</v>
      </c>
      <c r="B281" s="1" t="s">
        <v>5</v>
      </c>
      <c r="C281" s="1">
        <v>12</v>
      </c>
      <c r="D281" s="1">
        <v>65</v>
      </c>
      <c r="E281" s="3">
        <v>1625</v>
      </c>
      <c r="F281" s="90">
        <v>25</v>
      </c>
    </row>
    <row r="282" spans="1:6" x14ac:dyDescent="0.3">
      <c r="A282" s="1" t="s">
        <v>26</v>
      </c>
      <c r="B282" s="1" t="s">
        <v>5</v>
      </c>
      <c r="C282" s="1">
        <v>13</v>
      </c>
      <c r="D282" s="1">
        <v>44</v>
      </c>
      <c r="E282" s="3">
        <v>348.3</v>
      </c>
      <c r="F282" s="90">
        <v>7.9159090909090901</v>
      </c>
    </row>
    <row r="283" spans="1:6" x14ac:dyDescent="0.3">
      <c r="A283" s="1" t="s">
        <v>26</v>
      </c>
      <c r="B283" s="1" t="s">
        <v>5</v>
      </c>
      <c r="C283" s="1">
        <v>15</v>
      </c>
      <c r="D283" s="1">
        <v>7</v>
      </c>
      <c r="E283" s="3">
        <v>44</v>
      </c>
      <c r="F283" s="90">
        <v>6.28571428571429</v>
      </c>
    </row>
    <row r="284" spans="1:6" x14ac:dyDescent="0.3">
      <c r="A284" s="1" t="s">
        <v>27</v>
      </c>
      <c r="B284" s="1" t="s">
        <v>184</v>
      </c>
      <c r="C284" s="1">
        <v>0</v>
      </c>
      <c r="D284" s="1">
        <v>1</v>
      </c>
      <c r="E284" s="3">
        <v>0</v>
      </c>
      <c r="F284" s="90">
        <v>0</v>
      </c>
    </row>
    <row r="285" spans="1:6" x14ac:dyDescent="0.3">
      <c r="A285" s="1" t="s">
        <v>27</v>
      </c>
      <c r="B285" s="1" t="s">
        <v>184</v>
      </c>
      <c r="C285" s="1">
        <v>21</v>
      </c>
      <c r="D285" s="1">
        <v>16</v>
      </c>
      <c r="E285" s="3">
        <v>64</v>
      </c>
      <c r="F285" s="90">
        <v>4</v>
      </c>
    </row>
    <row r="286" spans="1:6" x14ac:dyDescent="0.3">
      <c r="A286" s="1" t="s">
        <v>27</v>
      </c>
      <c r="B286" s="1" t="s">
        <v>184</v>
      </c>
      <c r="C286" s="1">
        <v>22</v>
      </c>
      <c r="D286" s="1">
        <v>5</v>
      </c>
      <c r="E286" s="3">
        <v>20</v>
      </c>
      <c r="F286" s="90">
        <v>4</v>
      </c>
    </row>
    <row r="287" spans="1:6" x14ac:dyDescent="0.3">
      <c r="A287" s="1" t="s">
        <v>27</v>
      </c>
      <c r="B287" s="1" t="s">
        <v>183</v>
      </c>
      <c r="C287" s="1">
        <v>0</v>
      </c>
      <c r="D287" s="1">
        <v>1</v>
      </c>
      <c r="E287" s="3">
        <v>0</v>
      </c>
      <c r="F287" s="90">
        <v>0</v>
      </c>
    </row>
    <row r="288" spans="1:6" x14ac:dyDescent="0.3">
      <c r="A288" s="1" t="s">
        <v>27</v>
      </c>
      <c r="B288" s="1" t="s">
        <v>183</v>
      </c>
      <c r="C288" s="1">
        <v>31</v>
      </c>
      <c r="D288" s="1">
        <v>42</v>
      </c>
      <c r="E288" s="3">
        <v>336</v>
      </c>
      <c r="F288" s="90">
        <v>8</v>
      </c>
    </row>
    <row r="289" spans="1:6" x14ac:dyDescent="0.3">
      <c r="A289" s="1" t="s">
        <v>27</v>
      </c>
      <c r="B289" s="1" t="s">
        <v>183</v>
      </c>
      <c r="C289" s="1">
        <v>32</v>
      </c>
      <c r="D289" s="1">
        <v>11</v>
      </c>
      <c r="E289" s="3">
        <v>110</v>
      </c>
      <c r="F289" s="90">
        <v>10</v>
      </c>
    </row>
    <row r="290" spans="1:6" x14ac:dyDescent="0.3">
      <c r="A290" s="1" t="s">
        <v>27</v>
      </c>
      <c r="B290" s="1" t="s">
        <v>183</v>
      </c>
      <c r="C290" s="1">
        <v>33</v>
      </c>
      <c r="D290" s="1">
        <v>1</v>
      </c>
      <c r="E290" s="3">
        <v>6</v>
      </c>
      <c r="F290" s="90">
        <v>6</v>
      </c>
    </row>
    <row r="291" spans="1:6" x14ac:dyDescent="0.3">
      <c r="A291" s="1" t="s">
        <v>27</v>
      </c>
      <c r="B291" s="1" t="s">
        <v>183</v>
      </c>
      <c r="C291" s="1">
        <v>35</v>
      </c>
      <c r="D291" s="1">
        <v>1</v>
      </c>
      <c r="E291" s="3">
        <v>2</v>
      </c>
      <c r="F291" s="90">
        <v>2</v>
      </c>
    </row>
    <row r="292" spans="1:6" x14ac:dyDescent="0.3">
      <c r="A292" s="1" t="s">
        <v>27</v>
      </c>
      <c r="B292" s="1" t="s">
        <v>159</v>
      </c>
      <c r="C292" s="1">
        <v>41</v>
      </c>
      <c r="D292" s="1">
        <v>1</v>
      </c>
      <c r="E292" s="3">
        <v>2</v>
      </c>
      <c r="F292" s="90">
        <v>2</v>
      </c>
    </row>
    <row r="293" spans="1:6" x14ac:dyDescent="0.3">
      <c r="A293" s="1" t="s">
        <v>27</v>
      </c>
      <c r="B293" s="1" t="s">
        <v>159</v>
      </c>
      <c r="C293" s="1">
        <v>42</v>
      </c>
      <c r="D293" s="1">
        <v>67</v>
      </c>
      <c r="E293" s="3">
        <v>134</v>
      </c>
      <c r="F293" s="90">
        <v>2</v>
      </c>
    </row>
    <row r="294" spans="1:6" x14ac:dyDescent="0.3">
      <c r="A294" s="1" t="s">
        <v>27</v>
      </c>
      <c r="B294" s="1" t="s">
        <v>5</v>
      </c>
      <c r="C294" s="1">
        <v>0</v>
      </c>
      <c r="D294" s="1">
        <v>6</v>
      </c>
      <c r="E294" s="3">
        <v>0</v>
      </c>
      <c r="F294" s="90">
        <v>0</v>
      </c>
    </row>
    <row r="295" spans="1:6" x14ac:dyDescent="0.3">
      <c r="A295" s="1" t="s">
        <v>27</v>
      </c>
      <c r="B295" s="1" t="s">
        <v>5</v>
      </c>
      <c r="C295" s="1">
        <v>11</v>
      </c>
      <c r="D295" s="1">
        <v>133</v>
      </c>
      <c r="E295" s="3">
        <v>1064</v>
      </c>
      <c r="F295" s="90">
        <v>8</v>
      </c>
    </row>
    <row r="296" spans="1:6" x14ac:dyDescent="0.3">
      <c r="A296" s="1" t="s">
        <v>27</v>
      </c>
      <c r="B296" s="1" t="s">
        <v>5</v>
      </c>
      <c r="C296" s="1">
        <v>12</v>
      </c>
      <c r="D296" s="1">
        <v>29</v>
      </c>
      <c r="E296" s="3">
        <v>261</v>
      </c>
      <c r="F296" s="90">
        <v>9</v>
      </c>
    </row>
    <row r="297" spans="1:6" x14ac:dyDescent="0.3">
      <c r="A297" s="1" t="s">
        <v>27</v>
      </c>
      <c r="B297" s="1" t="s">
        <v>5</v>
      </c>
      <c r="C297" s="1">
        <v>13</v>
      </c>
      <c r="D297" s="1">
        <v>7</v>
      </c>
      <c r="E297" s="3">
        <v>42</v>
      </c>
      <c r="F297" s="90">
        <v>6</v>
      </c>
    </row>
    <row r="298" spans="1:6" x14ac:dyDescent="0.3">
      <c r="A298" s="1" t="s">
        <v>27</v>
      </c>
      <c r="B298" s="1" t="s">
        <v>5</v>
      </c>
      <c r="C298" s="1">
        <v>14</v>
      </c>
      <c r="D298" s="1">
        <v>3</v>
      </c>
      <c r="E298" s="3">
        <v>45</v>
      </c>
      <c r="F298" s="90">
        <v>15</v>
      </c>
    </row>
    <row r="299" spans="1:6" x14ac:dyDescent="0.3">
      <c r="A299" s="1" t="s">
        <v>27</v>
      </c>
      <c r="B299" s="1" t="s">
        <v>5</v>
      </c>
      <c r="C299" s="1">
        <v>15</v>
      </c>
      <c r="D299" s="1">
        <v>6</v>
      </c>
      <c r="E299" s="3">
        <v>12</v>
      </c>
      <c r="F299" s="90">
        <v>2</v>
      </c>
    </row>
    <row r="300" spans="1:6" x14ac:dyDescent="0.3">
      <c r="A300" s="1" t="s">
        <v>27</v>
      </c>
      <c r="B300" s="1" t="s">
        <v>5</v>
      </c>
      <c r="C300" s="1">
        <v>16</v>
      </c>
      <c r="D300" s="1">
        <v>1</v>
      </c>
      <c r="E300" s="3">
        <v>24</v>
      </c>
      <c r="F300" s="90">
        <v>24</v>
      </c>
    </row>
    <row r="301" spans="1:6" x14ac:dyDescent="0.3">
      <c r="A301" s="1" t="s">
        <v>28</v>
      </c>
      <c r="B301" s="1" t="s">
        <v>184</v>
      </c>
      <c r="C301" s="1">
        <v>0</v>
      </c>
      <c r="D301" s="1">
        <v>1</v>
      </c>
      <c r="E301" s="3">
        <v>0</v>
      </c>
      <c r="F301" s="90">
        <v>0</v>
      </c>
    </row>
    <row r="302" spans="1:6" x14ac:dyDescent="0.3">
      <c r="A302" s="1" t="s">
        <v>28</v>
      </c>
      <c r="B302" s="1" t="s">
        <v>184</v>
      </c>
      <c r="C302" s="1">
        <v>21</v>
      </c>
      <c r="D302" s="1">
        <v>23</v>
      </c>
      <c r="E302" s="3">
        <v>92</v>
      </c>
      <c r="F302" s="90">
        <v>4</v>
      </c>
    </row>
    <row r="303" spans="1:6" x14ac:dyDescent="0.3">
      <c r="A303" s="1" t="s">
        <v>28</v>
      </c>
      <c r="B303" s="1" t="s">
        <v>184</v>
      </c>
      <c r="C303" s="1">
        <v>22</v>
      </c>
      <c r="D303" s="1">
        <v>14</v>
      </c>
      <c r="E303" s="3">
        <v>56</v>
      </c>
      <c r="F303" s="90">
        <v>4</v>
      </c>
    </row>
    <row r="304" spans="1:6" x14ac:dyDescent="0.3">
      <c r="A304" s="1" t="s">
        <v>28</v>
      </c>
      <c r="B304" s="1" t="s">
        <v>183</v>
      </c>
      <c r="C304" s="1">
        <v>0</v>
      </c>
      <c r="D304" s="1">
        <v>1</v>
      </c>
      <c r="E304" s="3">
        <v>0</v>
      </c>
      <c r="F304" s="90">
        <v>0</v>
      </c>
    </row>
    <row r="305" spans="1:6" x14ac:dyDescent="0.3">
      <c r="A305" s="1" t="s">
        <v>28</v>
      </c>
      <c r="B305" s="1" t="s">
        <v>183</v>
      </c>
      <c r="C305" s="1">
        <v>31</v>
      </c>
      <c r="D305" s="1">
        <v>56</v>
      </c>
      <c r="E305" s="3">
        <v>448</v>
      </c>
      <c r="F305" s="90">
        <v>8</v>
      </c>
    </row>
    <row r="306" spans="1:6" x14ac:dyDescent="0.3">
      <c r="A306" s="1" t="s">
        <v>28</v>
      </c>
      <c r="B306" s="1" t="s">
        <v>183</v>
      </c>
      <c r="C306" s="1">
        <v>32</v>
      </c>
      <c r="D306" s="1">
        <v>33</v>
      </c>
      <c r="E306" s="3">
        <v>330</v>
      </c>
      <c r="F306" s="90">
        <v>10</v>
      </c>
    </row>
    <row r="307" spans="1:6" x14ac:dyDescent="0.3">
      <c r="A307" s="1" t="s">
        <v>28</v>
      </c>
      <c r="B307" s="1" t="s">
        <v>159</v>
      </c>
      <c r="C307" s="1">
        <v>42</v>
      </c>
      <c r="D307" s="1">
        <v>3</v>
      </c>
      <c r="E307" s="3">
        <v>6</v>
      </c>
      <c r="F307" s="90">
        <v>2</v>
      </c>
    </row>
    <row r="308" spans="1:6" x14ac:dyDescent="0.3">
      <c r="A308" s="1" t="s">
        <v>28</v>
      </c>
      <c r="B308" s="1" t="s">
        <v>5</v>
      </c>
      <c r="C308" s="1">
        <v>0</v>
      </c>
      <c r="D308" s="1">
        <v>2</v>
      </c>
      <c r="E308" s="3">
        <v>0</v>
      </c>
      <c r="F308" s="90">
        <v>0</v>
      </c>
    </row>
    <row r="309" spans="1:6" x14ac:dyDescent="0.3">
      <c r="A309" s="1" t="s">
        <v>28</v>
      </c>
      <c r="B309" s="1" t="s">
        <v>5</v>
      </c>
      <c r="C309" s="1">
        <v>11</v>
      </c>
      <c r="D309" s="1">
        <v>69</v>
      </c>
      <c r="E309" s="3">
        <v>828</v>
      </c>
      <c r="F309" s="90">
        <v>12</v>
      </c>
    </row>
    <row r="310" spans="1:6" x14ac:dyDescent="0.3">
      <c r="A310" s="1" t="s">
        <v>28</v>
      </c>
      <c r="B310" s="1" t="s">
        <v>5</v>
      </c>
      <c r="C310" s="1">
        <v>12</v>
      </c>
      <c r="D310" s="1">
        <v>24</v>
      </c>
      <c r="E310" s="3">
        <v>504</v>
      </c>
      <c r="F310" s="90">
        <v>21</v>
      </c>
    </row>
    <row r="311" spans="1:6" x14ac:dyDescent="0.3">
      <c r="A311" s="1" t="s">
        <v>28</v>
      </c>
      <c r="B311" s="1" t="s">
        <v>5</v>
      </c>
      <c r="C311" s="1">
        <v>13</v>
      </c>
      <c r="D311" s="1">
        <v>1</v>
      </c>
      <c r="E311" s="3">
        <v>9.3000000000000007</v>
      </c>
      <c r="F311" s="90">
        <v>9.3000000000000007</v>
      </c>
    </row>
    <row r="312" spans="1:6" x14ac:dyDescent="0.3">
      <c r="A312" s="1" t="s">
        <v>28</v>
      </c>
      <c r="B312" s="1" t="s">
        <v>5</v>
      </c>
      <c r="C312" s="1">
        <v>15</v>
      </c>
      <c r="D312" s="1">
        <v>1</v>
      </c>
      <c r="E312" s="3">
        <v>4</v>
      </c>
      <c r="F312" s="90">
        <v>4</v>
      </c>
    </row>
    <row r="313" spans="1:6" x14ac:dyDescent="0.3">
      <c r="A313" s="1" t="s">
        <v>29</v>
      </c>
      <c r="B313" s="1" t="s">
        <v>184</v>
      </c>
      <c r="C313" s="1">
        <v>0</v>
      </c>
      <c r="D313" s="1">
        <v>6</v>
      </c>
      <c r="E313" s="3">
        <v>0</v>
      </c>
      <c r="F313" s="90">
        <v>0</v>
      </c>
    </row>
    <row r="314" spans="1:6" x14ac:dyDescent="0.3">
      <c r="A314" s="1" t="s">
        <v>29</v>
      </c>
      <c r="B314" s="1" t="s">
        <v>184</v>
      </c>
      <c r="C314" s="1">
        <v>21</v>
      </c>
      <c r="D314" s="1">
        <v>282</v>
      </c>
      <c r="E314" s="3">
        <v>1128</v>
      </c>
      <c r="F314" s="90">
        <v>4</v>
      </c>
    </row>
    <row r="315" spans="1:6" x14ac:dyDescent="0.3">
      <c r="A315" s="1" t="s">
        <v>29</v>
      </c>
      <c r="B315" s="1" t="s">
        <v>184</v>
      </c>
      <c r="C315" s="1">
        <v>22</v>
      </c>
      <c r="D315" s="1">
        <v>257</v>
      </c>
      <c r="E315" s="3">
        <v>1028</v>
      </c>
      <c r="F315" s="90">
        <v>4</v>
      </c>
    </row>
    <row r="316" spans="1:6" x14ac:dyDescent="0.3">
      <c r="A316" s="1" t="s">
        <v>29</v>
      </c>
      <c r="B316" s="1" t="s">
        <v>183</v>
      </c>
      <c r="C316" s="1">
        <v>0</v>
      </c>
      <c r="D316" s="1">
        <v>4</v>
      </c>
      <c r="E316" s="3">
        <v>0</v>
      </c>
      <c r="F316" s="90">
        <v>0</v>
      </c>
    </row>
    <row r="317" spans="1:6" x14ac:dyDescent="0.3">
      <c r="A317" s="1" t="s">
        <v>29</v>
      </c>
      <c r="B317" s="1" t="s">
        <v>183</v>
      </c>
      <c r="C317" s="1">
        <v>31</v>
      </c>
      <c r="D317" s="1">
        <v>584</v>
      </c>
      <c r="E317" s="3">
        <v>4672</v>
      </c>
      <c r="F317" s="90">
        <v>8</v>
      </c>
    </row>
    <row r="318" spans="1:6" x14ac:dyDescent="0.3">
      <c r="A318" s="1" t="s">
        <v>29</v>
      </c>
      <c r="B318" s="1" t="s">
        <v>183</v>
      </c>
      <c r="C318" s="1">
        <v>32</v>
      </c>
      <c r="D318" s="1">
        <v>838</v>
      </c>
      <c r="E318" s="3">
        <v>8380</v>
      </c>
      <c r="F318" s="90">
        <v>10</v>
      </c>
    </row>
    <row r="319" spans="1:6" x14ac:dyDescent="0.3">
      <c r="A319" s="1" t="s">
        <v>29</v>
      </c>
      <c r="B319" s="1" t="s">
        <v>183</v>
      </c>
      <c r="C319" s="1">
        <v>33</v>
      </c>
      <c r="D319" s="1">
        <v>2</v>
      </c>
      <c r="E319" s="3">
        <v>13.6</v>
      </c>
      <c r="F319" s="90">
        <v>6.8</v>
      </c>
    </row>
    <row r="320" spans="1:6" x14ac:dyDescent="0.3">
      <c r="A320" s="1" t="s">
        <v>29</v>
      </c>
      <c r="B320" s="1" t="s">
        <v>183</v>
      </c>
      <c r="C320" s="1">
        <v>34</v>
      </c>
      <c r="D320" s="1">
        <v>1</v>
      </c>
      <c r="E320" s="3">
        <v>9</v>
      </c>
      <c r="F320" s="90">
        <v>9</v>
      </c>
    </row>
    <row r="321" spans="1:6" x14ac:dyDescent="0.3">
      <c r="A321" s="1" t="s">
        <v>29</v>
      </c>
      <c r="B321" s="1" t="s">
        <v>183</v>
      </c>
      <c r="C321" s="1">
        <v>35</v>
      </c>
      <c r="D321" s="1">
        <v>12</v>
      </c>
      <c r="E321" s="3">
        <v>66.5</v>
      </c>
      <c r="F321" s="90">
        <v>5.5416666666666696</v>
      </c>
    </row>
    <row r="322" spans="1:6" x14ac:dyDescent="0.3">
      <c r="A322" s="1" t="s">
        <v>29</v>
      </c>
      <c r="B322" s="1" t="s">
        <v>183</v>
      </c>
      <c r="C322" s="1">
        <v>36</v>
      </c>
      <c r="D322" s="1">
        <v>2</v>
      </c>
      <c r="E322" s="3">
        <v>30</v>
      </c>
      <c r="F322" s="90">
        <v>15</v>
      </c>
    </row>
    <row r="323" spans="1:6" x14ac:dyDescent="0.3">
      <c r="A323" s="1" t="s">
        <v>29</v>
      </c>
      <c r="B323" s="1" t="s">
        <v>159</v>
      </c>
      <c r="C323" s="1">
        <v>41</v>
      </c>
      <c r="D323" s="1">
        <v>4</v>
      </c>
      <c r="E323" s="3">
        <v>8</v>
      </c>
      <c r="F323" s="90">
        <v>2</v>
      </c>
    </row>
    <row r="324" spans="1:6" x14ac:dyDescent="0.3">
      <c r="A324" s="1" t="s">
        <v>29</v>
      </c>
      <c r="B324" s="1" t="s">
        <v>159</v>
      </c>
      <c r="C324" s="1">
        <v>42</v>
      </c>
      <c r="D324" s="1">
        <v>79</v>
      </c>
      <c r="E324" s="3">
        <v>158</v>
      </c>
      <c r="F324" s="90">
        <v>2</v>
      </c>
    </row>
    <row r="325" spans="1:6" x14ac:dyDescent="0.3">
      <c r="A325" s="1" t="s">
        <v>29</v>
      </c>
      <c r="B325" s="1" t="s">
        <v>5</v>
      </c>
      <c r="C325" s="1">
        <v>0</v>
      </c>
      <c r="D325" s="1">
        <v>14</v>
      </c>
      <c r="E325" s="3">
        <v>0</v>
      </c>
      <c r="F325" s="90">
        <v>0</v>
      </c>
    </row>
    <row r="326" spans="1:6" x14ac:dyDescent="0.3">
      <c r="A326" s="1" t="s">
        <v>29</v>
      </c>
      <c r="B326" s="1" t="s">
        <v>5</v>
      </c>
      <c r="C326" s="1">
        <v>10</v>
      </c>
      <c r="D326" s="1">
        <v>16</v>
      </c>
      <c r="E326" s="3">
        <v>0</v>
      </c>
      <c r="F326" s="90">
        <v>0</v>
      </c>
    </row>
    <row r="327" spans="1:6" x14ac:dyDescent="0.3">
      <c r="A327" s="1" t="s">
        <v>29</v>
      </c>
      <c r="B327" s="1" t="s">
        <v>5</v>
      </c>
      <c r="C327" s="1">
        <v>11</v>
      </c>
      <c r="D327" s="1">
        <v>943</v>
      </c>
      <c r="E327" s="3">
        <v>8487</v>
      </c>
      <c r="F327" s="90">
        <v>9</v>
      </c>
    </row>
    <row r="328" spans="1:6" x14ac:dyDescent="0.3">
      <c r="A328" s="1" t="s">
        <v>29</v>
      </c>
      <c r="B328" s="1" t="s">
        <v>5</v>
      </c>
      <c r="C328" s="1">
        <v>12</v>
      </c>
      <c r="D328" s="1">
        <v>934</v>
      </c>
      <c r="E328" s="3">
        <v>14010</v>
      </c>
      <c r="F328" s="90">
        <v>15</v>
      </c>
    </row>
    <row r="329" spans="1:6" x14ac:dyDescent="0.3">
      <c r="A329" s="1" t="s">
        <v>29</v>
      </c>
      <c r="B329" s="1" t="s">
        <v>5</v>
      </c>
      <c r="C329" s="1">
        <v>13</v>
      </c>
      <c r="D329" s="1">
        <v>34</v>
      </c>
      <c r="E329" s="3">
        <v>209</v>
      </c>
      <c r="F329" s="90">
        <v>6.1470588235294104</v>
      </c>
    </row>
    <row r="330" spans="1:6" x14ac:dyDescent="0.3">
      <c r="A330" s="1" t="s">
        <v>29</v>
      </c>
      <c r="B330" s="1" t="s">
        <v>5</v>
      </c>
      <c r="C330" s="1">
        <v>14</v>
      </c>
      <c r="D330" s="1">
        <v>2</v>
      </c>
      <c r="E330" s="3">
        <v>44.2</v>
      </c>
      <c r="F330" s="90">
        <v>22.1</v>
      </c>
    </row>
    <row r="331" spans="1:6" x14ac:dyDescent="0.3">
      <c r="A331" s="1" t="s">
        <v>29</v>
      </c>
      <c r="B331" s="1" t="s">
        <v>5</v>
      </c>
      <c r="C331" s="1">
        <v>15</v>
      </c>
      <c r="D331" s="1">
        <v>32</v>
      </c>
      <c r="E331" s="3">
        <v>263.8</v>
      </c>
      <c r="F331" s="90">
        <v>8.2437500000000004</v>
      </c>
    </row>
    <row r="332" spans="1:6" x14ac:dyDescent="0.3">
      <c r="A332" s="1" t="s">
        <v>30</v>
      </c>
      <c r="B332" s="1" t="s">
        <v>184</v>
      </c>
      <c r="C332" s="1">
        <v>0</v>
      </c>
      <c r="D332" s="1">
        <v>4</v>
      </c>
      <c r="E332" s="3">
        <v>0</v>
      </c>
      <c r="F332" s="90">
        <v>0</v>
      </c>
    </row>
    <row r="333" spans="1:6" x14ac:dyDescent="0.3">
      <c r="A333" s="1" t="s">
        <v>30</v>
      </c>
      <c r="B333" s="1" t="s">
        <v>184</v>
      </c>
      <c r="C333" s="1">
        <v>21</v>
      </c>
      <c r="D333" s="1">
        <v>126</v>
      </c>
      <c r="E333" s="3">
        <v>504</v>
      </c>
      <c r="F333" s="90">
        <v>4</v>
      </c>
    </row>
    <row r="334" spans="1:6" x14ac:dyDescent="0.3">
      <c r="A334" s="1" t="s">
        <v>30</v>
      </c>
      <c r="B334" s="1" t="s">
        <v>184</v>
      </c>
      <c r="C334" s="1">
        <v>22</v>
      </c>
      <c r="D334" s="1">
        <v>74</v>
      </c>
      <c r="E334" s="3">
        <v>296</v>
      </c>
      <c r="F334" s="90">
        <v>4</v>
      </c>
    </row>
    <row r="335" spans="1:6" x14ac:dyDescent="0.3">
      <c r="A335" s="1" t="s">
        <v>30</v>
      </c>
      <c r="B335" s="1" t="s">
        <v>183</v>
      </c>
      <c r="C335" s="1">
        <v>0</v>
      </c>
      <c r="D335" s="1">
        <v>3</v>
      </c>
      <c r="E335" s="3">
        <v>0</v>
      </c>
      <c r="F335" s="90">
        <v>0</v>
      </c>
    </row>
    <row r="336" spans="1:6" x14ac:dyDescent="0.3">
      <c r="A336" s="1" t="s">
        <v>30</v>
      </c>
      <c r="B336" s="1" t="s">
        <v>183</v>
      </c>
      <c r="C336" s="1">
        <v>31</v>
      </c>
      <c r="D336" s="1">
        <v>350</v>
      </c>
      <c r="E336" s="3">
        <v>2800</v>
      </c>
      <c r="F336" s="90">
        <v>8</v>
      </c>
    </row>
    <row r="337" spans="1:6" x14ac:dyDescent="0.3">
      <c r="A337" s="1" t="s">
        <v>30</v>
      </c>
      <c r="B337" s="1" t="s">
        <v>183</v>
      </c>
      <c r="C337" s="1">
        <v>32</v>
      </c>
      <c r="D337" s="1">
        <v>317</v>
      </c>
      <c r="E337" s="3">
        <v>3170</v>
      </c>
      <c r="F337" s="90">
        <v>10</v>
      </c>
    </row>
    <row r="338" spans="1:6" x14ac:dyDescent="0.3">
      <c r="A338" s="1" t="s">
        <v>30</v>
      </c>
      <c r="B338" s="1" t="s">
        <v>183</v>
      </c>
      <c r="C338" s="1">
        <v>34</v>
      </c>
      <c r="D338" s="1">
        <v>1</v>
      </c>
      <c r="E338" s="3">
        <v>12</v>
      </c>
      <c r="F338" s="90">
        <v>12</v>
      </c>
    </row>
    <row r="339" spans="1:6" x14ac:dyDescent="0.3">
      <c r="A339" s="1" t="s">
        <v>30</v>
      </c>
      <c r="B339" s="1" t="s">
        <v>183</v>
      </c>
      <c r="C339" s="1">
        <v>35</v>
      </c>
      <c r="D339" s="1">
        <v>6</v>
      </c>
      <c r="E339" s="3">
        <v>36</v>
      </c>
      <c r="F339" s="90">
        <v>6</v>
      </c>
    </row>
    <row r="340" spans="1:6" x14ac:dyDescent="0.3">
      <c r="A340" s="1" t="s">
        <v>30</v>
      </c>
      <c r="B340" s="1" t="s">
        <v>183</v>
      </c>
      <c r="C340" s="1">
        <v>36</v>
      </c>
      <c r="D340" s="1">
        <v>2</v>
      </c>
      <c r="E340" s="3">
        <v>44</v>
      </c>
      <c r="F340" s="90">
        <v>22</v>
      </c>
    </row>
    <row r="341" spans="1:6" x14ac:dyDescent="0.3">
      <c r="A341" s="1" t="s">
        <v>30</v>
      </c>
      <c r="B341" s="1" t="s">
        <v>159</v>
      </c>
      <c r="C341" s="1">
        <v>42</v>
      </c>
      <c r="D341" s="1">
        <v>39</v>
      </c>
      <c r="E341" s="3">
        <v>78</v>
      </c>
      <c r="F341" s="90">
        <v>2</v>
      </c>
    </row>
    <row r="342" spans="1:6" x14ac:dyDescent="0.3">
      <c r="A342" s="1" t="s">
        <v>30</v>
      </c>
      <c r="B342" s="1" t="s">
        <v>5</v>
      </c>
      <c r="C342" s="1">
        <v>0</v>
      </c>
      <c r="D342" s="1">
        <v>2</v>
      </c>
      <c r="E342" s="3">
        <v>0</v>
      </c>
      <c r="F342" s="90">
        <v>0</v>
      </c>
    </row>
    <row r="343" spans="1:6" x14ac:dyDescent="0.3">
      <c r="A343" s="1" t="s">
        <v>30</v>
      </c>
      <c r="B343" s="1" t="s">
        <v>5</v>
      </c>
      <c r="C343" s="1">
        <v>11</v>
      </c>
      <c r="D343" s="1">
        <v>164</v>
      </c>
      <c r="E343" s="3">
        <v>1968</v>
      </c>
      <c r="F343" s="90">
        <v>12</v>
      </c>
    </row>
    <row r="344" spans="1:6" x14ac:dyDescent="0.3">
      <c r="A344" s="1" t="s">
        <v>30</v>
      </c>
      <c r="B344" s="1" t="s">
        <v>5</v>
      </c>
      <c r="C344" s="1">
        <v>12</v>
      </c>
      <c r="D344" s="1">
        <v>87</v>
      </c>
      <c r="E344" s="3">
        <v>1914</v>
      </c>
      <c r="F344" s="90">
        <v>22</v>
      </c>
    </row>
    <row r="345" spans="1:6" x14ac:dyDescent="0.3">
      <c r="A345" s="1" t="s">
        <v>30</v>
      </c>
      <c r="B345" s="1" t="s">
        <v>5</v>
      </c>
      <c r="C345" s="1">
        <v>13</v>
      </c>
      <c r="D345" s="1">
        <v>98</v>
      </c>
      <c r="E345" s="3">
        <v>440.3</v>
      </c>
      <c r="F345" s="90">
        <v>4.49285714285715</v>
      </c>
    </row>
    <row r="346" spans="1:6" x14ac:dyDescent="0.3">
      <c r="A346" s="1" t="s">
        <v>30</v>
      </c>
      <c r="B346" s="1" t="s">
        <v>5</v>
      </c>
      <c r="C346" s="1">
        <v>14</v>
      </c>
      <c r="D346" s="1">
        <v>1</v>
      </c>
      <c r="E346" s="3">
        <v>22.5</v>
      </c>
      <c r="F346" s="90">
        <v>22.5</v>
      </c>
    </row>
    <row r="347" spans="1:6" x14ac:dyDescent="0.3">
      <c r="A347" s="1" t="s">
        <v>30</v>
      </c>
      <c r="B347" s="1" t="s">
        <v>5</v>
      </c>
      <c r="C347" s="1">
        <v>15</v>
      </c>
      <c r="D347" s="1">
        <v>20</v>
      </c>
      <c r="E347" s="3">
        <v>207</v>
      </c>
      <c r="F347" s="90">
        <v>10.35</v>
      </c>
    </row>
    <row r="348" spans="1:6" x14ac:dyDescent="0.3">
      <c r="A348" s="1" t="s">
        <v>31</v>
      </c>
      <c r="B348" s="1" t="s">
        <v>184</v>
      </c>
      <c r="C348" s="1">
        <v>21</v>
      </c>
      <c r="D348" s="1">
        <v>1</v>
      </c>
      <c r="E348" s="3">
        <v>4</v>
      </c>
      <c r="F348" s="90">
        <v>4</v>
      </c>
    </row>
    <row r="349" spans="1:6" x14ac:dyDescent="0.3">
      <c r="A349" s="1" t="s">
        <v>31</v>
      </c>
      <c r="B349" s="1" t="s">
        <v>184</v>
      </c>
      <c r="C349" s="1">
        <v>22</v>
      </c>
      <c r="D349" s="1">
        <v>8</v>
      </c>
      <c r="E349" s="3">
        <v>32</v>
      </c>
      <c r="F349" s="90">
        <v>4</v>
      </c>
    </row>
    <row r="350" spans="1:6" x14ac:dyDescent="0.3">
      <c r="A350" s="1" t="s">
        <v>31</v>
      </c>
      <c r="B350" s="1" t="s">
        <v>184</v>
      </c>
      <c r="C350" s="1">
        <v>26</v>
      </c>
      <c r="D350" s="1">
        <v>1</v>
      </c>
      <c r="E350" s="3">
        <v>10</v>
      </c>
      <c r="F350" s="90">
        <v>10</v>
      </c>
    </row>
    <row r="351" spans="1:6" x14ac:dyDescent="0.3">
      <c r="A351" s="1" t="s">
        <v>31</v>
      </c>
      <c r="B351" s="1" t="s">
        <v>183</v>
      </c>
      <c r="C351" s="1">
        <v>31</v>
      </c>
      <c r="D351" s="1">
        <v>21</v>
      </c>
      <c r="E351" s="3">
        <v>168</v>
      </c>
      <c r="F351" s="90">
        <v>8</v>
      </c>
    </row>
    <row r="352" spans="1:6" x14ac:dyDescent="0.3">
      <c r="A352" s="1" t="s">
        <v>31</v>
      </c>
      <c r="B352" s="1" t="s">
        <v>183</v>
      </c>
      <c r="C352" s="1">
        <v>32</v>
      </c>
      <c r="D352" s="1">
        <v>28</v>
      </c>
      <c r="E352" s="3">
        <v>280</v>
      </c>
      <c r="F352" s="90">
        <v>10</v>
      </c>
    </row>
    <row r="353" spans="1:6" x14ac:dyDescent="0.3">
      <c r="A353" s="1" t="s">
        <v>31</v>
      </c>
      <c r="B353" s="1" t="s">
        <v>183</v>
      </c>
      <c r="C353" s="1">
        <v>35</v>
      </c>
      <c r="D353" s="1">
        <v>1</v>
      </c>
      <c r="E353" s="3">
        <v>2</v>
      </c>
      <c r="F353" s="90">
        <v>2</v>
      </c>
    </row>
    <row r="354" spans="1:6" x14ac:dyDescent="0.3">
      <c r="A354" s="1" t="s">
        <v>31</v>
      </c>
      <c r="B354" s="1" t="s">
        <v>159</v>
      </c>
      <c r="C354" s="1">
        <v>42</v>
      </c>
      <c r="D354" s="1">
        <v>14</v>
      </c>
      <c r="E354" s="3">
        <v>28</v>
      </c>
      <c r="F354" s="90">
        <v>2</v>
      </c>
    </row>
    <row r="355" spans="1:6" x14ac:dyDescent="0.3">
      <c r="A355" s="1" t="s">
        <v>31</v>
      </c>
      <c r="B355" s="1" t="s">
        <v>5</v>
      </c>
      <c r="C355" s="1">
        <v>0</v>
      </c>
      <c r="D355" s="1">
        <v>3</v>
      </c>
      <c r="E355" s="3">
        <v>0</v>
      </c>
      <c r="F355" s="90">
        <v>0</v>
      </c>
    </row>
    <row r="356" spans="1:6" x14ac:dyDescent="0.3">
      <c r="A356" s="1" t="s">
        <v>31</v>
      </c>
      <c r="B356" s="1" t="s">
        <v>5</v>
      </c>
      <c r="C356" s="1">
        <v>10</v>
      </c>
      <c r="D356" s="1">
        <v>1</v>
      </c>
      <c r="E356" s="3">
        <v>0</v>
      </c>
      <c r="F356" s="90">
        <v>0</v>
      </c>
    </row>
    <row r="357" spans="1:6" x14ac:dyDescent="0.3">
      <c r="A357" s="1" t="s">
        <v>31</v>
      </c>
      <c r="B357" s="1" t="s">
        <v>5</v>
      </c>
      <c r="C357" s="1">
        <v>11</v>
      </c>
      <c r="D357" s="1">
        <v>23</v>
      </c>
      <c r="E357" s="3">
        <v>115</v>
      </c>
      <c r="F357" s="90">
        <v>5</v>
      </c>
    </row>
    <row r="358" spans="1:6" x14ac:dyDescent="0.3">
      <c r="A358" s="1" t="s">
        <v>31</v>
      </c>
      <c r="B358" s="1" t="s">
        <v>5</v>
      </c>
      <c r="C358" s="1">
        <v>12</v>
      </c>
      <c r="D358" s="1">
        <v>23</v>
      </c>
      <c r="E358" s="3">
        <v>345</v>
      </c>
      <c r="F358" s="90">
        <v>15</v>
      </c>
    </row>
    <row r="359" spans="1:6" x14ac:dyDescent="0.3">
      <c r="A359" s="1" t="s">
        <v>31</v>
      </c>
      <c r="B359" s="1" t="s">
        <v>5</v>
      </c>
      <c r="C359" s="1">
        <v>13</v>
      </c>
      <c r="D359" s="1">
        <v>3</v>
      </c>
      <c r="E359" s="3">
        <v>12.1</v>
      </c>
      <c r="F359" s="90">
        <v>4.0333333333333297</v>
      </c>
    </row>
    <row r="360" spans="1:6" x14ac:dyDescent="0.3">
      <c r="A360" s="1" t="s">
        <v>31</v>
      </c>
      <c r="B360" s="1" t="s">
        <v>5</v>
      </c>
      <c r="C360" s="1">
        <v>15</v>
      </c>
      <c r="D360" s="1">
        <v>1</v>
      </c>
      <c r="E360" s="3">
        <v>2</v>
      </c>
      <c r="F360" s="90">
        <v>2</v>
      </c>
    </row>
    <row r="361" spans="1:6" x14ac:dyDescent="0.3">
      <c r="A361" s="1" t="s">
        <v>32</v>
      </c>
      <c r="B361" s="1" t="s">
        <v>184</v>
      </c>
      <c r="C361" s="1">
        <v>0</v>
      </c>
      <c r="D361" s="1">
        <v>8</v>
      </c>
      <c r="E361" s="3">
        <v>0</v>
      </c>
      <c r="F361" s="90">
        <v>0</v>
      </c>
    </row>
    <row r="362" spans="1:6" x14ac:dyDescent="0.3">
      <c r="A362" s="1" t="s">
        <v>32</v>
      </c>
      <c r="B362" s="1" t="s">
        <v>184</v>
      </c>
      <c r="C362" s="1">
        <v>21</v>
      </c>
      <c r="D362" s="1">
        <v>333</v>
      </c>
      <c r="E362" s="3">
        <v>1332</v>
      </c>
      <c r="F362" s="90">
        <v>4</v>
      </c>
    </row>
    <row r="363" spans="1:6" x14ac:dyDescent="0.3">
      <c r="A363" s="1" t="s">
        <v>32</v>
      </c>
      <c r="B363" s="1" t="s">
        <v>184</v>
      </c>
      <c r="C363" s="1">
        <v>22</v>
      </c>
      <c r="D363" s="1">
        <v>226</v>
      </c>
      <c r="E363" s="3">
        <v>904</v>
      </c>
      <c r="F363" s="90">
        <v>4</v>
      </c>
    </row>
    <row r="364" spans="1:6" x14ac:dyDescent="0.3">
      <c r="A364" s="1" t="s">
        <v>32</v>
      </c>
      <c r="B364" s="1" t="s">
        <v>183</v>
      </c>
      <c r="C364" s="1">
        <v>0</v>
      </c>
      <c r="D364" s="1">
        <v>5</v>
      </c>
      <c r="E364" s="3">
        <v>0</v>
      </c>
      <c r="F364" s="90">
        <v>0</v>
      </c>
    </row>
    <row r="365" spans="1:6" x14ac:dyDescent="0.3">
      <c r="A365" s="1" t="s">
        <v>32</v>
      </c>
      <c r="B365" s="1" t="s">
        <v>183</v>
      </c>
      <c r="C365" s="1">
        <v>31</v>
      </c>
      <c r="D365" s="1">
        <v>788</v>
      </c>
      <c r="E365" s="3">
        <v>6304</v>
      </c>
      <c r="F365" s="90">
        <v>8</v>
      </c>
    </row>
    <row r="366" spans="1:6" x14ac:dyDescent="0.3">
      <c r="A366" s="1" t="s">
        <v>32</v>
      </c>
      <c r="B366" s="1" t="s">
        <v>183</v>
      </c>
      <c r="C366" s="1">
        <v>32</v>
      </c>
      <c r="D366" s="1">
        <v>661</v>
      </c>
      <c r="E366" s="3">
        <v>6610</v>
      </c>
      <c r="F366" s="90">
        <v>10</v>
      </c>
    </row>
    <row r="367" spans="1:6" x14ac:dyDescent="0.3">
      <c r="A367" s="1" t="s">
        <v>32</v>
      </c>
      <c r="B367" s="1" t="s">
        <v>183</v>
      </c>
      <c r="C367" s="1">
        <v>33</v>
      </c>
      <c r="D367" s="1">
        <v>4</v>
      </c>
      <c r="E367" s="3">
        <v>21.6</v>
      </c>
      <c r="F367" s="90">
        <v>5.4</v>
      </c>
    </row>
    <row r="368" spans="1:6" x14ac:dyDescent="0.3">
      <c r="A368" s="1" t="s">
        <v>32</v>
      </c>
      <c r="B368" s="1" t="s">
        <v>183</v>
      </c>
      <c r="C368" s="1">
        <v>34</v>
      </c>
      <c r="D368" s="1">
        <v>1</v>
      </c>
      <c r="E368" s="3">
        <v>9</v>
      </c>
      <c r="F368" s="90">
        <v>9</v>
      </c>
    </row>
    <row r="369" spans="1:6" x14ac:dyDescent="0.3">
      <c r="A369" s="1" t="s">
        <v>32</v>
      </c>
      <c r="B369" s="1" t="s">
        <v>183</v>
      </c>
      <c r="C369" s="1">
        <v>35</v>
      </c>
      <c r="D369" s="1">
        <v>10</v>
      </c>
      <c r="E369" s="3">
        <v>35.5</v>
      </c>
      <c r="F369" s="90">
        <v>3.55</v>
      </c>
    </row>
    <row r="370" spans="1:6" x14ac:dyDescent="0.3">
      <c r="A370" s="1" t="s">
        <v>32</v>
      </c>
      <c r="B370" s="1" t="s">
        <v>183</v>
      </c>
      <c r="C370" s="1">
        <v>36</v>
      </c>
      <c r="D370" s="1">
        <v>1</v>
      </c>
      <c r="E370" s="3">
        <v>15</v>
      </c>
      <c r="F370" s="90">
        <v>15</v>
      </c>
    </row>
    <row r="371" spans="1:6" x14ac:dyDescent="0.3">
      <c r="A371" s="1" t="s">
        <v>32</v>
      </c>
      <c r="B371" s="1" t="s">
        <v>159</v>
      </c>
      <c r="C371" s="1">
        <v>41</v>
      </c>
      <c r="D371" s="1">
        <v>8</v>
      </c>
      <c r="E371" s="3">
        <v>16</v>
      </c>
      <c r="F371" s="90">
        <v>2</v>
      </c>
    </row>
    <row r="372" spans="1:6" x14ac:dyDescent="0.3">
      <c r="A372" s="1" t="s">
        <v>32</v>
      </c>
      <c r="B372" s="1" t="s">
        <v>159</v>
      </c>
      <c r="C372" s="1">
        <v>42</v>
      </c>
      <c r="D372" s="1">
        <v>145</v>
      </c>
      <c r="E372" s="3">
        <v>290</v>
      </c>
      <c r="F372" s="90">
        <v>2</v>
      </c>
    </row>
    <row r="373" spans="1:6" x14ac:dyDescent="0.3">
      <c r="A373" s="1" t="s">
        <v>32</v>
      </c>
      <c r="B373" s="1" t="s">
        <v>5</v>
      </c>
      <c r="C373" s="1">
        <v>0</v>
      </c>
      <c r="D373" s="1">
        <v>21</v>
      </c>
      <c r="E373" s="3">
        <v>0</v>
      </c>
      <c r="F373" s="90">
        <v>0</v>
      </c>
    </row>
    <row r="374" spans="1:6" x14ac:dyDescent="0.3">
      <c r="A374" s="1" t="s">
        <v>32</v>
      </c>
      <c r="B374" s="1" t="s">
        <v>5</v>
      </c>
      <c r="C374" s="1">
        <v>10</v>
      </c>
      <c r="D374" s="1">
        <v>5</v>
      </c>
      <c r="E374" s="3">
        <v>0</v>
      </c>
      <c r="F374" s="90">
        <v>0</v>
      </c>
    </row>
    <row r="375" spans="1:6" x14ac:dyDescent="0.3">
      <c r="A375" s="1" t="s">
        <v>32</v>
      </c>
      <c r="B375" s="1" t="s">
        <v>5</v>
      </c>
      <c r="C375" s="1">
        <v>11</v>
      </c>
      <c r="D375" s="1">
        <v>526</v>
      </c>
      <c r="E375" s="3">
        <v>4734</v>
      </c>
      <c r="F375" s="90">
        <v>9</v>
      </c>
    </row>
    <row r="376" spans="1:6" x14ac:dyDescent="0.3">
      <c r="A376" s="1" t="s">
        <v>32</v>
      </c>
      <c r="B376" s="1" t="s">
        <v>5</v>
      </c>
      <c r="C376" s="1">
        <v>12</v>
      </c>
      <c r="D376" s="1">
        <v>255</v>
      </c>
      <c r="E376" s="3">
        <v>3825</v>
      </c>
      <c r="F376" s="90">
        <v>15</v>
      </c>
    </row>
    <row r="377" spans="1:6" x14ac:dyDescent="0.3">
      <c r="A377" s="1" t="s">
        <v>32</v>
      </c>
      <c r="B377" s="1" t="s">
        <v>5</v>
      </c>
      <c r="C377" s="1">
        <v>13</v>
      </c>
      <c r="D377" s="1">
        <v>65</v>
      </c>
      <c r="E377" s="3">
        <v>351.5</v>
      </c>
      <c r="F377" s="90">
        <v>5.4076923076923098</v>
      </c>
    </row>
    <row r="378" spans="1:6" x14ac:dyDescent="0.3">
      <c r="A378" s="1" t="s">
        <v>32</v>
      </c>
      <c r="B378" s="1" t="s">
        <v>5</v>
      </c>
      <c r="C378" s="1">
        <v>14</v>
      </c>
      <c r="D378" s="1">
        <v>1</v>
      </c>
      <c r="E378" s="3">
        <v>15</v>
      </c>
      <c r="F378" s="90">
        <v>15</v>
      </c>
    </row>
    <row r="379" spans="1:6" x14ac:dyDescent="0.3">
      <c r="A379" s="1" t="s">
        <v>32</v>
      </c>
      <c r="B379" s="1" t="s">
        <v>5</v>
      </c>
      <c r="C379" s="1">
        <v>15</v>
      </c>
      <c r="D379" s="1">
        <v>36</v>
      </c>
      <c r="E379" s="3">
        <v>237.2</v>
      </c>
      <c r="F379" s="90">
        <v>6.5888888888888903</v>
      </c>
    </row>
    <row r="380" spans="1:6" x14ac:dyDescent="0.3">
      <c r="A380" s="1" t="s">
        <v>33</v>
      </c>
      <c r="B380" s="1" t="s">
        <v>184</v>
      </c>
      <c r="C380" s="1">
        <v>0</v>
      </c>
      <c r="D380" s="1">
        <v>1</v>
      </c>
      <c r="E380" s="3">
        <v>0</v>
      </c>
      <c r="F380" s="90">
        <v>0</v>
      </c>
    </row>
    <row r="381" spans="1:6" x14ac:dyDescent="0.3">
      <c r="A381" s="1" t="s">
        <v>33</v>
      </c>
      <c r="B381" s="1" t="s">
        <v>184</v>
      </c>
      <c r="C381" s="1">
        <v>21</v>
      </c>
      <c r="D381" s="1">
        <v>5</v>
      </c>
      <c r="E381" s="3">
        <v>20</v>
      </c>
      <c r="F381" s="90">
        <v>4</v>
      </c>
    </row>
    <row r="382" spans="1:6" x14ac:dyDescent="0.3">
      <c r="A382" s="1" t="s">
        <v>33</v>
      </c>
      <c r="B382" s="1" t="s">
        <v>183</v>
      </c>
      <c r="C382" s="1">
        <v>31</v>
      </c>
      <c r="D382" s="1">
        <v>9</v>
      </c>
      <c r="E382" s="3">
        <v>72</v>
      </c>
      <c r="F382" s="90">
        <v>8</v>
      </c>
    </row>
    <row r="383" spans="1:6" x14ac:dyDescent="0.3">
      <c r="A383" s="1" t="s">
        <v>33</v>
      </c>
      <c r="B383" s="1" t="s">
        <v>183</v>
      </c>
      <c r="C383" s="1">
        <v>32</v>
      </c>
      <c r="D383" s="1">
        <v>6</v>
      </c>
      <c r="E383" s="3">
        <v>60</v>
      </c>
      <c r="F383" s="90">
        <v>10</v>
      </c>
    </row>
    <row r="384" spans="1:6" x14ac:dyDescent="0.3">
      <c r="A384" s="1" t="s">
        <v>33</v>
      </c>
      <c r="B384" s="1" t="s">
        <v>159</v>
      </c>
      <c r="C384" s="1">
        <v>42</v>
      </c>
      <c r="D384" s="1">
        <v>1</v>
      </c>
      <c r="E384" s="3">
        <v>2</v>
      </c>
      <c r="F384" s="90">
        <v>2</v>
      </c>
    </row>
    <row r="385" spans="1:6" x14ac:dyDescent="0.3">
      <c r="A385" s="1" t="s">
        <v>33</v>
      </c>
      <c r="B385" s="1" t="s">
        <v>5</v>
      </c>
      <c r="C385" s="1">
        <v>0</v>
      </c>
      <c r="D385" s="1">
        <v>2</v>
      </c>
      <c r="E385" s="3">
        <v>0</v>
      </c>
      <c r="F385" s="90">
        <v>0</v>
      </c>
    </row>
    <row r="386" spans="1:6" x14ac:dyDescent="0.3">
      <c r="A386" s="1" t="s">
        <v>33</v>
      </c>
      <c r="B386" s="1" t="s">
        <v>5</v>
      </c>
      <c r="C386" s="1">
        <v>11</v>
      </c>
      <c r="D386" s="1">
        <v>8</v>
      </c>
      <c r="E386" s="3">
        <v>72</v>
      </c>
      <c r="F386" s="90">
        <v>9</v>
      </c>
    </row>
    <row r="387" spans="1:6" x14ac:dyDescent="0.3">
      <c r="A387" s="1" t="s">
        <v>33</v>
      </c>
      <c r="B387" s="1" t="s">
        <v>5</v>
      </c>
      <c r="C387" s="1">
        <v>12</v>
      </c>
      <c r="D387" s="1">
        <v>7</v>
      </c>
      <c r="E387" s="3">
        <v>133</v>
      </c>
      <c r="F387" s="90">
        <v>19</v>
      </c>
    </row>
    <row r="388" spans="1:6" x14ac:dyDescent="0.3">
      <c r="A388" s="1" t="s">
        <v>33</v>
      </c>
      <c r="B388" s="1" t="s">
        <v>5</v>
      </c>
      <c r="C388" s="1">
        <v>13</v>
      </c>
      <c r="D388" s="1">
        <v>3</v>
      </c>
      <c r="E388" s="3">
        <v>15.5</v>
      </c>
      <c r="F388" s="90">
        <v>5.1666666666666696</v>
      </c>
    </row>
    <row r="389" spans="1:6" x14ac:dyDescent="0.3">
      <c r="A389" s="1" t="s">
        <v>33</v>
      </c>
      <c r="B389" s="1" t="s">
        <v>5</v>
      </c>
      <c r="C389" s="1">
        <v>14</v>
      </c>
      <c r="D389" s="1">
        <v>1</v>
      </c>
      <c r="E389" s="3">
        <v>13.5</v>
      </c>
      <c r="F389" s="90">
        <v>13.5</v>
      </c>
    </row>
    <row r="390" spans="1:6" x14ac:dyDescent="0.3">
      <c r="A390" s="1" t="s">
        <v>34</v>
      </c>
      <c r="B390" s="1" t="s">
        <v>184</v>
      </c>
      <c r="C390" s="1">
        <v>21</v>
      </c>
      <c r="D390" s="1">
        <v>8</v>
      </c>
      <c r="E390" s="3">
        <v>32</v>
      </c>
      <c r="F390" s="90">
        <v>4</v>
      </c>
    </row>
    <row r="391" spans="1:6" x14ac:dyDescent="0.3">
      <c r="A391" s="1" t="s">
        <v>34</v>
      </c>
      <c r="B391" s="1" t="s">
        <v>184</v>
      </c>
      <c r="C391" s="1">
        <v>22</v>
      </c>
      <c r="D391" s="1">
        <v>6</v>
      </c>
      <c r="E391" s="3">
        <v>24</v>
      </c>
      <c r="F391" s="90">
        <v>4</v>
      </c>
    </row>
    <row r="392" spans="1:6" x14ac:dyDescent="0.3">
      <c r="A392" s="1" t="s">
        <v>34</v>
      </c>
      <c r="B392" s="1" t="s">
        <v>184</v>
      </c>
      <c r="C392" s="1">
        <v>25</v>
      </c>
      <c r="D392" s="1">
        <v>2</v>
      </c>
      <c r="E392" s="3">
        <v>6</v>
      </c>
      <c r="F392" s="90">
        <v>3</v>
      </c>
    </row>
    <row r="393" spans="1:6" x14ac:dyDescent="0.3">
      <c r="A393" s="1" t="s">
        <v>34</v>
      </c>
      <c r="B393" s="1" t="s">
        <v>183</v>
      </c>
      <c r="C393" s="1">
        <v>0</v>
      </c>
      <c r="D393" s="1">
        <v>2</v>
      </c>
      <c r="E393" s="3">
        <v>0</v>
      </c>
      <c r="F393" s="90">
        <v>0</v>
      </c>
    </row>
    <row r="394" spans="1:6" x14ac:dyDescent="0.3">
      <c r="A394" s="1" t="s">
        <v>34</v>
      </c>
      <c r="B394" s="1" t="s">
        <v>183</v>
      </c>
      <c r="C394" s="1">
        <v>31</v>
      </c>
      <c r="D394" s="1">
        <v>19</v>
      </c>
      <c r="E394" s="3">
        <v>152</v>
      </c>
      <c r="F394" s="90">
        <v>8</v>
      </c>
    </row>
    <row r="395" spans="1:6" x14ac:dyDescent="0.3">
      <c r="A395" s="1" t="s">
        <v>34</v>
      </c>
      <c r="B395" s="1" t="s">
        <v>183</v>
      </c>
      <c r="C395" s="1">
        <v>32</v>
      </c>
      <c r="D395" s="1">
        <v>14</v>
      </c>
      <c r="E395" s="3">
        <v>140</v>
      </c>
      <c r="F395" s="90">
        <v>10</v>
      </c>
    </row>
    <row r="396" spans="1:6" x14ac:dyDescent="0.3">
      <c r="A396" s="1" t="s">
        <v>34</v>
      </c>
      <c r="B396" s="1" t="s">
        <v>159</v>
      </c>
      <c r="C396" s="1">
        <v>41</v>
      </c>
      <c r="D396" s="1">
        <v>1</v>
      </c>
      <c r="E396" s="3">
        <v>2</v>
      </c>
      <c r="F396" s="90">
        <v>2</v>
      </c>
    </row>
    <row r="397" spans="1:6" x14ac:dyDescent="0.3">
      <c r="A397" s="1" t="s">
        <v>34</v>
      </c>
      <c r="B397" s="1" t="s">
        <v>159</v>
      </c>
      <c r="C397" s="1">
        <v>42</v>
      </c>
      <c r="D397" s="1">
        <v>4</v>
      </c>
      <c r="E397" s="3">
        <v>8</v>
      </c>
      <c r="F397" s="90">
        <v>2</v>
      </c>
    </row>
    <row r="398" spans="1:6" x14ac:dyDescent="0.3">
      <c r="A398" s="1" t="s">
        <v>34</v>
      </c>
      <c r="B398" s="1" t="s">
        <v>5</v>
      </c>
      <c r="C398" s="1">
        <v>0</v>
      </c>
      <c r="D398" s="1">
        <v>4</v>
      </c>
      <c r="E398" s="3">
        <v>0</v>
      </c>
      <c r="F398" s="90">
        <v>0</v>
      </c>
    </row>
    <row r="399" spans="1:6" x14ac:dyDescent="0.3">
      <c r="A399" s="1" t="s">
        <v>34</v>
      </c>
      <c r="B399" s="1" t="s">
        <v>5</v>
      </c>
      <c r="C399" s="1">
        <v>11</v>
      </c>
      <c r="D399" s="1">
        <v>28</v>
      </c>
      <c r="E399" s="3">
        <v>252</v>
      </c>
      <c r="F399" s="90">
        <v>9</v>
      </c>
    </row>
    <row r="400" spans="1:6" x14ac:dyDescent="0.3">
      <c r="A400" s="1" t="s">
        <v>34</v>
      </c>
      <c r="B400" s="1" t="s">
        <v>5</v>
      </c>
      <c r="C400" s="1">
        <v>12</v>
      </c>
      <c r="D400" s="1">
        <v>48</v>
      </c>
      <c r="E400" s="3">
        <v>528</v>
      </c>
      <c r="F400" s="90">
        <v>11</v>
      </c>
    </row>
    <row r="401" spans="1:6" x14ac:dyDescent="0.3">
      <c r="A401" s="1" t="s">
        <v>34</v>
      </c>
      <c r="B401" s="1" t="s">
        <v>5</v>
      </c>
      <c r="C401" s="1">
        <v>14</v>
      </c>
      <c r="D401" s="1">
        <v>2</v>
      </c>
      <c r="E401" s="3">
        <v>30</v>
      </c>
      <c r="F401" s="90">
        <v>15</v>
      </c>
    </row>
    <row r="402" spans="1:6" x14ac:dyDescent="0.3">
      <c r="A402" s="1" t="s">
        <v>34</v>
      </c>
      <c r="B402" s="1" t="s">
        <v>5</v>
      </c>
      <c r="C402" s="1">
        <v>15</v>
      </c>
      <c r="D402" s="1">
        <v>5</v>
      </c>
      <c r="E402" s="3">
        <v>33.1</v>
      </c>
      <c r="F402" s="90">
        <v>6.62</v>
      </c>
    </row>
    <row r="403" spans="1:6" x14ac:dyDescent="0.3">
      <c r="A403" s="1" t="s">
        <v>34</v>
      </c>
      <c r="B403" s="1" t="s">
        <v>5</v>
      </c>
      <c r="C403" s="1">
        <v>16</v>
      </c>
      <c r="D403" s="1">
        <v>1</v>
      </c>
      <c r="E403" s="3">
        <v>24</v>
      </c>
      <c r="F403" s="90">
        <v>24</v>
      </c>
    </row>
    <row r="404" spans="1:6" x14ac:dyDescent="0.3">
      <c r="A404" s="1" t="s">
        <v>35</v>
      </c>
      <c r="B404" s="1" t="s">
        <v>184</v>
      </c>
      <c r="C404" s="1">
        <v>21</v>
      </c>
      <c r="D404" s="1">
        <v>3</v>
      </c>
      <c r="E404" s="3">
        <v>12</v>
      </c>
      <c r="F404" s="90">
        <v>4</v>
      </c>
    </row>
    <row r="405" spans="1:6" x14ac:dyDescent="0.3">
      <c r="A405" s="1" t="s">
        <v>35</v>
      </c>
      <c r="B405" s="1" t="s">
        <v>184</v>
      </c>
      <c r="C405" s="1">
        <v>22</v>
      </c>
      <c r="D405" s="1">
        <v>8</v>
      </c>
      <c r="E405" s="3">
        <v>32</v>
      </c>
      <c r="F405" s="90">
        <v>4</v>
      </c>
    </row>
    <row r="406" spans="1:6" x14ac:dyDescent="0.3">
      <c r="A406" s="1" t="s">
        <v>35</v>
      </c>
      <c r="B406" s="1" t="s">
        <v>183</v>
      </c>
      <c r="C406" s="1">
        <v>31</v>
      </c>
      <c r="D406" s="1">
        <v>7</v>
      </c>
      <c r="E406" s="3">
        <v>56</v>
      </c>
      <c r="F406" s="90">
        <v>8</v>
      </c>
    </row>
    <row r="407" spans="1:6" x14ac:dyDescent="0.3">
      <c r="A407" s="1" t="s">
        <v>35</v>
      </c>
      <c r="B407" s="1" t="s">
        <v>183</v>
      </c>
      <c r="C407" s="1">
        <v>32</v>
      </c>
      <c r="D407" s="1">
        <v>12</v>
      </c>
      <c r="E407" s="3">
        <v>120</v>
      </c>
      <c r="F407" s="90">
        <v>10</v>
      </c>
    </row>
    <row r="408" spans="1:6" x14ac:dyDescent="0.3">
      <c r="A408" s="1" t="s">
        <v>35</v>
      </c>
      <c r="B408" s="1" t="s">
        <v>183</v>
      </c>
      <c r="C408" s="1">
        <v>35</v>
      </c>
      <c r="D408" s="1">
        <v>2</v>
      </c>
      <c r="E408" s="3">
        <v>15</v>
      </c>
      <c r="F408" s="90">
        <v>7.5</v>
      </c>
    </row>
    <row r="409" spans="1:6" x14ac:dyDescent="0.3">
      <c r="A409" s="1" t="s">
        <v>35</v>
      </c>
      <c r="B409" s="1" t="s">
        <v>5</v>
      </c>
      <c r="C409" s="1">
        <v>0</v>
      </c>
      <c r="D409" s="1">
        <v>12</v>
      </c>
      <c r="E409" s="3">
        <v>0</v>
      </c>
      <c r="F409" s="90">
        <v>0</v>
      </c>
    </row>
    <row r="410" spans="1:6" x14ac:dyDescent="0.3">
      <c r="A410" s="1" t="s">
        <v>35</v>
      </c>
      <c r="B410" s="1" t="s">
        <v>5</v>
      </c>
      <c r="C410" s="1">
        <v>11</v>
      </c>
      <c r="D410" s="1">
        <v>43</v>
      </c>
      <c r="E410" s="3">
        <v>473</v>
      </c>
      <c r="F410" s="90">
        <v>11</v>
      </c>
    </row>
    <row r="411" spans="1:6" x14ac:dyDescent="0.3">
      <c r="A411" s="1" t="s">
        <v>35</v>
      </c>
      <c r="B411" s="1" t="s">
        <v>5</v>
      </c>
      <c r="C411" s="1">
        <v>12</v>
      </c>
      <c r="D411" s="1">
        <v>32</v>
      </c>
      <c r="E411" s="3">
        <v>512</v>
      </c>
      <c r="F411" s="90">
        <v>16</v>
      </c>
    </row>
    <row r="412" spans="1:6" x14ac:dyDescent="0.3">
      <c r="A412" s="1" t="s">
        <v>35</v>
      </c>
      <c r="B412" s="1" t="s">
        <v>5</v>
      </c>
      <c r="C412" s="1">
        <v>13</v>
      </c>
      <c r="D412" s="1">
        <v>2</v>
      </c>
      <c r="E412" s="3">
        <v>16.600000000000001</v>
      </c>
      <c r="F412" s="90">
        <v>8.3000000000000007</v>
      </c>
    </row>
    <row r="413" spans="1:6" x14ac:dyDescent="0.3">
      <c r="A413" s="1" t="s">
        <v>35</v>
      </c>
      <c r="B413" s="1" t="s">
        <v>5</v>
      </c>
      <c r="C413" s="1">
        <v>14</v>
      </c>
      <c r="D413" s="1">
        <v>1</v>
      </c>
      <c r="E413" s="3">
        <v>24</v>
      </c>
      <c r="F413" s="90">
        <v>24</v>
      </c>
    </row>
    <row r="414" spans="1:6" x14ac:dyDescent="0.3">
      <c r="A414" s="1" t="s">
        <v>35</v>
      </c>
      <c r="B414" s="1" t="s">
        <v>5</v>
      </c>
      <c r="C414" s="1">
        <v>15</v>
      </c>
      <c r="D414" s="1">
        <v>8</v>
      </c>
      <c r="E414" s="3">
        <v>80</v>
      </c>
      <c r="F414" s="90">
        <v>10</v>
      </c>
    </row>
    <row r="415" spans="1:6" x14ac:dyDescent="0.3">
      <c r="A415" s="1" t="s">
        <v>35</v>
      </c>
      <c r="B415" s="1" t="s">
        <v>5</v>
      </c>
      <c r="C415" s="1">
        <v>16</v>
      </c>
      <c r="D415" s="1">
        <v>1</v>
      </c>
      <c r="E415" s="3">
        <v>26.5</v>
      </c>
      <c r="F415" s="90">
        <v>26.5</v>
      </c>
    </row>
    <row r="416" spans="1:6" x14ac:dyDescent="0.3">
      <c r="A416" s="1" t="s">
        <v>36</v>
      </c>
      <c r="B416" s="1" t="s">
        <v>184</v>
      </c>
      <c r="C416" s="1">
        <v>21</v>
      </c>
      <c r="D416" s="1">
        <v>1</v>
      </c>
      <c r="E416" s="3">
        <v>4</v>
      </c>
      <c r="F416" s="90">
        <v>4</v>
      </c>
    </row>
    <row r="417" spans="1:6" x14ac:dyDescent="0.3">
      <c r="A417" s="1" t="s">
        <v>36</v>
      </c>
      <c r="B417" s="1" t="s">
        <v>183</v>
      </c>
      <c r="C417" s="1">
        <v>31</v>
      </c>
      <c r="D417" s="1">
        <v>7</v>
      </c>
      <c r="E417" s="3">
        <v>56</v>
      </c>
      <c r="F417" s="90">
        <v>8</v>
      </c>
    </row>
    <row r="418" spans="1:6" x14ac:dyDescent="0.3">
      <c r="A418" s="1" t="s">
        <v>36</v>
      </c>
      <c r="B418" s="1" t="s">
        <v>183</v>
      </c>
      <c r="C418" s="1">
        <v>32</v>
      </c>
      <c r="D418" s="1">
        <v>3</v>
      </c>
      <c r="E418" s="3">
        <v>30</v>
      </c>
      <c r="F418" s="90">
        <v>10</v>
      </c>
    </row>
    <row r="419" spans="1:6" x14ac:dyDescent="0.3">
      <c r="A419" s="1" t="s">
        <v>36</v>
      </c>
      <c r="B419" s="1" t="s">
        <v>5</v>
      </c>
      <c r="C419" s="1">
        <v>0</v>
      </c>
      <c r="D419" s="1">
        <v>1</v>
      </c>
      <c r="E419" s="3">
        <v>0</v>
      </c>
      <c r="F419" s="90">
        <v>0</v>
      </c>
    </row>
    <row r="420" spans="1:6" x14ac:dyDescent="0.3">
      <c r="A420" s="1" t="s">
        <v>36</v>
      </c>
      <c r="B420" s="1" t="s">
        <v>5</v>
      </c>
      <c r="C420" s="1">
        <v>11</v>
      </c>
      <c r="D420" s="1">
        <v>37</v>
      </c>
      <c r="E420" s="3">
        <v>370</v>
      </c>
      <c r="F420" s="90">
        <v>10</v>
      </c>
    </row>
    <row r="421" spans="1:6" x14ac:dyDescent="0.3">
      <c r="A421" s="1" t="s">
        <v>36</v>
      </c>
      <c r="B421" s="1" t="s">
        <v>5</v>
      </c>
      <c r="C421" s="1">
        <v>12</v>
      </c>
      <c r="D421" s="1">
        <v>7</v>
      </c>
      <c r="E421" s="3">
        <v>119</v>
      </c>
      <c r="F421" s="90">
        <v>17</v>
      </c>
    </row>
    <row r="422" spans="1:6" x14ac:dyDescent="0.3">
      <c r="A422" s="1" t="s">
        <v>36</v>
      </c>
      <c r="B422" s="1" t="s">
        <v>5</v>
      </c>
      <c r="C422" s="1">
        <v>15</v>
      </c>
      <c r="D422" s="1">
        <v>2</v>
      </c>
      <c r="E422" s="3">
        <v>4</v>
      </c>
      <c r="F422" s="90">
        <v>2</v>
      </c>
    </row>
    <row r="423" spans="1:6" x14ac:dyDescent="0.3">
      <c r="A423" s="1" t="s">
        <v>37</v>
      </c>
      <c r="B423" s="1" t="s">
        <v>185</v>
      </c>
      <c r="C423" s="1">
        <v>50</v>
      </c>
      <c r="D423" s="1">
        <v>6</v>
      </c>
      <c r="E423" s="3">
        <v>30</v>
      </c>
      <c r="F423" s="90">
        <v>5</v>
      </c>
    </row>
    <row r="424" spans="1:6" x14ac:dyDescent="0.3">
      <c r="A424" s="1" t="s">
        <v>38</v>
      </c>
      <c r="B424" s="1" t="s">
        <v>185</v>
      </c>
      <c r="C424" s="1">
        <v>50</v>
      </c>
      <c r="D424" s="1">
        <v>2</v>
      </c>
      <c r="E424" s="3">
        <v>10</v>
      </c>
      <c r="F424" s="90">
        <v>5</v>
      </c>
    </row>
    <row r="425" spans="1:6" x14ac:dyDescent="0.3">
      <c r="A425" s="1" t="s">
        <v>39</v>
      </c>
      <c r="B425" s="1" t="s">
        <v>185</v>
      </c>
      <c r="C425" s="1">
        <v>50</v>
      </c>
      <c r="D425" s="1">
        <v>8</v>
      </c>
      <c r="E425" s="3">
        <v>43.6</v>
      </c>
      <c r="F425" s="90">
        <v>5.45</v>
      </c>
    </row>
    <row r="426" spans="1:6" x14ac:dyDescent="0.3">
      <c r="A426" s="1" t="s">
        <v>40</v>
      </c>
      <c r="B426" s="1" t="s">
        <v>185</v>
      </c>
      <c r="C426" s="1">
        <v>50</v>
      </c>
      <c r="D426" s="1">
        <v>1</v>
      </c>
      <c r="E426" s="3">
        <v>5</v>
      </c>
      <c r="F426" s="90">
        <v>5</v>
      </c>
    </row>
    <row r="427" spans="1:6" x14ac:dyDescent="0.3">
      <c r="A427" s="1" t="s">
        <v>41</v>
      </c>
      <c r="B427" s="1" t="s">
        <v>185</v>
      </c>
      <c r="C427" s="1">
        <v>50</v>
      </c>
      <c r="D427" s="1">
        <v>4</v>
      </c>
      <c r="E427" s="3">
        <v>15.5</v>
      </c>
      <c r="F427" s="90">
        <v>3.875</v>
      </c>
    </row>
    <row r="428" spans="1:6" x14ac:dyDescent="0.3">
      <c r="A428" s="1" t="s">
        <v>42</v>
      </c>
      <c r="B428" s="1" t="s">
        <v>185</v>
      </c>
      <c r="C428" s="1">
        <v>50</v>
      </c>
      <c r="D428" s="1">
        <v>1</v>
      </c>
      <c r="E428" s="3">
        <v>5</v>
      </c>
      <c r="F428" s="90">
        <v>5</v>
      </c>
    </row>
    <row r="429" spans="1:6" x14ac:dyDescent="0.3">
      <c r="A429" s="1" t="s">
        <v>43</v>
      </c>
      <c r="B429" s="1" t="s">
        <v>185</v>
      </c>
      <c r="C429" s="1">
        <v>50</v>
      </c>
      <c r="D429" s="1">
        <v>41</v>
      </c>
      <c r="E429" s="3">
        <v>191</v>
      </c>
      <c r="F429" s="90">
        <v>4.6585365853658498</v>
      </c>
    </row>
    <row r="430" spans="1:6" x14ac:dyDescent="0.3">
      <c r="A430" s="1" t="s">
        <v>44</v>
      </c>
      <c r="B430" s="1" t="s">
        <v>185</v>
      </c>
      <c r="C430" s="1">
        <v>50</v>
      </c>
      <c r="D430" s="1">
        <v>1</v>
      </c>
      <c r="E430" s="3">
        <v>5</v>
      </c>
      <c r="F430" s="90">
        <v>5</v>
      </c>
    </row>
    <row r="431" spans="1:6" x14ac:dyDescent="0.3">
      <c r="A431" s="1" t="s">
        <v>45</v>
      </c>
      <c r="B431" s="1" t="s">
        <v>185</v>
      </c>
      <c r="C431" s="1">
        <v>0</v>
      </c>
      <c r="D431" s="1">
        <v>1</v>
      </c>
      <c r="E431" s="3">
        <v>0</v>
      </c>
      <c r="F431" s="90">
        <v>0</v>
      </c>
    </row>
    <row r="432" spans="1:6" x14ac:dyDescent="0.3">
      <c r="A432" s="1" t="s">
        <v>45</v>
      </c>
      <c r="B432" s="1" t="s">
        <v>185</v>
      </c>
      <c r="C432" s="1">
        <v>50</v>
      </c>
      <c r="D432" s="1">
        <v>46</v>
      </c>
      <c r="E432" s="3">
        <v>238.7</v>
      </c>
      <c r="F432" s="90">
        <v>5.1891304347826104</v>
      </c>
    </row>
    <row r="433" spans="1:6" x14ac:dyDescent="0.3">
      <c r="A433" s="1" t="s">
        <v>46</v>
      </c>
      <c r="B433" s="1" t="s">
        <v>185</v>
      </c>
      <c r="C433" s="1">
        <v>0</v>
      </c>
      <c r="D433" s="1">
        <v>6</v>
      </c>
      <c r="E433" s="3">
        <v>0</v>
      </c>
      <c r="F433" s="90">
        <v>0</v>
      </c>
    </row>
    <row r="434" spans="1:6" x14ac:dyDescent="0.3">
      <c r="A434" s="1" t="s">
        <v>46</v>
      </c>
      <c r="B434" s="1" t="s">
        <v>185</v>
      </c>
      <c r="C434" s="1">
        <v>50</v>
      </c>
      <c r="D434" s="1">
        <v>7821</v>
      </c>
      <c r="E434" s="3">
        <v>57161.200000003701</v>
      </c>
      <c r="F434" s="90">
        <v>7.3086817542518503</v>
      </c>
    </row>
    <row r="435" spans="1:6" x14ac:dyDescent="0.3">
      <c r="A435" s="1" t="s">
        <v>47</v>
      </c>
      <c r="B435" s="1" t="s">
        <v>185</v>
      </c>
      <c r="C435" s="1">
        <v>0</v>
      </c>
      <c r="D435" s="1">
        <v>1</v>
      </c>
      <c r="E435" s="3">
        <v>0</v>
      </c>
      <c r="F435" s="90">
        <v>0</v>
      </c>
    </row>
    <row r="436" spans="1:6" x14ac:dyDescent="0.3">
      <c r="A436" s="1" t="s">
        <v>47</v>
      </c>
      <c r="B436" s="1" t="s">
        <v>185</v>
      </c>
      <c r="C436" s="1">
        <v>50</v>
      </c>
      <c r="D436" s="1">
        <v>1054</v>
      </c>
      <c r="E436" s="3">
        <v>5464.3</v>
      </c>
      <c r="F436" s="90">
        <v>5.1843453510436399</v>
      </c>
    </row>
    <row r="437" spans="1:6" x14ac:dyDescent="0.3">
      <c r="A437" s="1" t="s">
        <v>48</v>
      </c>
      <c r="B437" s="1" t="s">
        <v>185</v>
      </c>
      <c r="C437" s="1">
        <v>50</v>
      </c>
      <c r="D437" s="1">
        <v>3</v>
      </c>
      <c r="E437" s="3">
        <v>15</v>
      </c>
      <c r="F437" s="90">
        <v>5</v>
      </c>
    </row>
    <row r="438" spans="1:6" x14ac:dyDescent="0.3">
      <c r="A438" s="1" t="s">
        <v>49</v>
      </c>
      <c r="B438" s="1" t="s">
        <v>185</v>
      </c>
      <c r="C438" s="1">
        <v>50</v>
      </c>
      <c r="D438" s="1">
        <v>302</v>
      </c>
      <c r="E438" s="3">
        <v>1457.8</v>
      </c>
      <c r="F438" s="90">
        <v>4.82715231788079</v>
      </c>
    </row>
    <row r="439" spans="1:6" x14ac:dyDescent="0.3">
      <c r="A439" s="1" t="s">
        <v>50</v>
      </c>
      <c r="B439" s="1" t="s">
        <v>185</v>
      </c>
      <c r="C439" s="1">
        <v>50</v>
      </c>
      <c r="D439" s="1">
        <v>25</v>
      </c>
      <c r="E439" s="3">
        <v>115.5</v>
      </c>
      <c r="F439" s="90">
        <v>4.62</v>
      </c>
    </row>
    <row r="440" spans="1:6" x14ac:dyDescent="0.3">
      <c r="A440" s="1" t="s">
        <v>51</v>
      </c>
      <c r="B440" s="1" t="s">
        <v>185</v>
      </c>
      <c r="C440" s="1">
        <v>50</v>
      </c>
      <c r="D440" s="1">
        <v>4</v>
      </c>
      <c r="E440" s="3">
        <v>18</v>
      </c>
      <c r="F440" s="90">
        <v>4.5</v>
      </c>
    </row>
    <row r="441" spans="1:6" x14ac:dyDescent="0.3">
      <c r="A441" s="1" t="s">
        <v>52</v>
      </c>
      <c r="B441" s="1" t="s">
        <v>185</v>
      </c>
      <c r="C441" s="1">
        <v>0</v>
      </c>
      <c r="D441" s="1">
        <v>2</v>
      </c>
      <c r="E441" s="3">
        <v>0</v>
      </c>
      <c r="F441" s="90">
        <v>0</v>
      </c>
    </row>
    <row r="442" spans="1:6" x14ac:dyDescent="0.3">
      <c r="A442" s="1" t="s">
        <v>52</v>
      </c>
      <c r="B442" s="1" t="s">
        <v>185</v>
      </c>
      <c r="C442" s="1">
        <v>50</v>
      </c>
      <c r="D442" s="1">
        <v>2094</v>
      </c>
      <c r="E442" s="3">
        <v>12423.7</v>
      </c>
      <c r="F442" s="90">
        <v>5.9329990448901597</v>
      </c>
    </row>
    <row r="443" spans="1:6" x14ac:dyDescent="0.3">
      <c r="A443" s="1" t="s">
        <v>53</v>
      </c>
      <c r="B443" s="1" t="s">
        <v>185</v>
      </c>
      <c r="C443" s="1">
        <v>50</v>
      </c>
      <c r="D443" s="1">
        <v>1</v>
      </c>
      <c r="E443" s="3">
        <v>5</v>
      </c>
      <c r="F443" s="90">
        <v>5</v>
      </c>
    </row>
    <row r="444" spans="1:6" x14ac:dyDescent="0.3">
      <c r="A444" s="1" t="s">
        <v>54</v>
      </c>
      <c r="B444" s="1" t="s">
        <v>184</v>
      </c>
      <c r="C444" s="1">
        <v>0</v>
      </c>
      <c r="D444" s="1">
        <v>12</v>
      </c>
      <c r="E444" s="3">
        <v>0</v>
      </c>
      <c r="F444" s="90">
        <v>0</v>
      </c>
    </row>
    <row r="445" spans="1:6" x14ac:dyDescent="0.3">
      <c r="A445" s="1" t="s">
        <v>54</v>
      </c>
      <c r="B445" s="1" t="s">
        <v>184</v>
      </c>
      <c r="C445" s="1">
        <v>21</v>
      </c>
      <c r="D445" s="1">
        <v>376</v>
      </c>
      <c r="E445" s="3">
        <v>1504</v>
      </c>
      <c r="F445" s="90">
        <v>4</v>
      </c>
    </row>
    <row r="446" spans="1:6" x14ac:dyDescent="0.3">
      <c r="A446" s="1" t="s">
        <v>54</v>
      </c>
      <c r="B446" s="1" t="s">
        <v>184</v>
      </c>
      <c r="C446" s="1">
        <v>22</v>
      </c>
      <c r="D446" s="1">
        <v>227</v>
      </c>
      <c r="E446" s="3">
        <v>908</v>
      </c>
      <c r="F446" s="90">
        <v>4</v>
      </c>
    </row>
    <row r="447" spans="1:6" x14ac:dyDescent="0.3">
      <c r="A447" s="1" t="s">
        <v>54</v>
      </c>
      <c r="B447" s="1" t="s">
        <v>184</v>
      </c>
      <c r="C447" s="1">
        <v>24</v>
      </c>
      <c r="D447" s="1">
        <v>1</v>
      </c>
      <c r="E447" s="3">
        <v>11</v>
      </c>
      <c r="F447" s="90">
        <v>11</v>
      </c>
    </row>
    <row r="448" spans="1:6" x14ac:dyDescent="0.3">
      <c r="A448" s="1" t="s">
        <v>54</v>
      </c>
      <c r="B448" s="1" t="s">
        <v>184</v>
      </c>
      <c r="C448" s="1">
        <v>25</v>
      </c>
      <c r="D448" s="1">
        <v>1</v>
      </c>
      <c r="E448" s="3">
        <v>2</v>
      </c>
      <c r="F448" s="90">
        <v>2</v>
      </c>
    </row>
    <row r="449" spans="1:6" x14ac:dyDescent="0.3">
      <c r="A449" s="1" t="s">
        <v>54</v>
      </c>
      <c r="B449" s="1" t="s">
        <v>184</v>
      </c>
      <c r="C449" s="1">
        <v>26</v>
      </c>
      <c r="D449" s="1">
        <v>6</v>
      </c>
      <c r="E449" s="3">
        <v>78</v>
      </c>
      <c r="F449" s="90">
        <v>13</v>
      </c>
    </row>
    <row r="450" spans="1:6" x14ac:dyDescent="0.3">
      <c r="A450" s="1" t="s">
        <v>54</v>
      </c>
      <c r="B450" s="1" t="s">
        <v>183</v>
      </c>
      <c r="C450" s="1">
        <v>0</v>
      </c>
      <c r="D450" s="1">
        <v>14</v>
      </c>
      <c r="E450" s="3">
        <v>0</v>
      </c>
      <c r="F450" s="90">
        <v>0</v>
      </c>
    </row>
    <row r="451" spans="1:6" x14ac:dyDescent="0.3">
      <c r="A451" s="1" t="s">
        <v>54</v>
      </c>
      <c r="B451" s="1" t="s">
        <v>183</v>
      </c>
      <c r="C451" s="1">
        <v>31</v>
      </c>
      <c r="D451" s="1">
        <v>950</v>
      </c>
      <c r="E451" s="3">
        <v>7600</v>
      </c>
      <c r="F451" s="90">
        <v>8</v>
      </c>
    </row>
    <row r="452" spans="1:6" x14ac:dyDescent="0.3">
      <c r="A452" s="1" t="s">
        <v>54</v>
      </c>
      <c r="B452" s="1" t="s">
        <v>183</v>
      </c>
      <c r="C452" s="1">
        <v>32</v>
      </c>
      <c r="D452" s="1">
        <v>560</v>
      </c>
      <c r="E452" s="3">
        <v>5600</v>
      </c>
      <c r="F452" s="90">
        <v>10</v>
      </c>
    </row>
    <row r="453" spans="1:6" x14ac:dyDescent="0.3">
      <c r="A453" s="1" t="s">
        <v>54</v>
      </c>
      <c r="B453" s="1" t="s">
        <v>183</v>
      </c>
      <c r="C453" s="1">
        <v>33</v>
      </c>
      <c r="D453" s="1">
        <v>1</v>
      </c>
      <c r="E453" s="3">
        <v>4</v>
      </c>
      <c r="F453" s="90">
        <v>4</v>
      </c>
    </row>
    <row r="454" spans="1:6" x14ac:dyDescent="0.3">
      <c r="A454" s="1" t="s">
        <v>54</v>
      </c>
      <c r="B454" s="1" t="s">
        <v>183</v>
      </c>
      <c r="C454" s="1">
        <v>34</v>
      </c>
      <c r="D454" s="1">
        <v>5</v>
      </c>
      <c r="E454" s="3">
        <v>55</v>
      </c>
      <c r="F454" s="90">
        <v>11</v>
      </c>
    </row>
    <row r="455" spans="1:6" x14ac:dyDescent="0.3">
      <c r="A455" s="1" t="s">
        <v>54</v>
      </c>
      <c r="B455" s="1" t="s">
        <v>183</v>
      </c>
      <c r="C455" s="1">
        <v>35</v>
      </c>
      <c r="D455" s="1">
        <v>6</v>
      </c>
      <c r="E455" s="3">
        <v>14</v>
      </c>
      <c r="F455" s="90">
        <v>2.3333333333333299</v>
      </c>
    </row>
    <row r="456" spans="1:6" x14ac:dyDescent="0.3">
      <c r="A456" s="1" t="s">
        <v>54</v>
      </c>
      <c r="B456" s="1" t="s">
        <v>183</v>
      </c>
      <c r="C456" s="1">
        <v>36</v>
      </c>
      <c r="D456" s="1">
        <v>1</v>
      </c>
      <c r="E456" s="3">
        <v>19</v>
      </c>
      <c r="F456" s="90">
        <v>19</v>
      </c>
    </row>
    <row r="457" spans="1:6" x14ac:dyDescent="0.3">
      <c r="A457" s="1" t="s">
        <v>54</v>
      </c>
      <c r="B457" s="1" t="s">
        <v>159</v>
      </c>
      <c r="C457" s="1">
        <v>41</v>
      </c>
      <c r="D457" s="1">
        <v>4</v>
      </c>
      <c r="E457" s="3">
        <v>8</v>
      </c>
      <c r="F457" s="90">
        <v>2</v>
      </c>
    </row>
    <row r="458" spans="1:6" x14ac:dyDescent="0.3">
      <c r="A458" s="1" t="s">
        <v>54</v>
      </c>
      <c r="B458" s="1" t="s">
        <v>159</v>
      </c>
      <c r="C458" s="1">
        <v>42</v>
      </c>
      <c r="D458" s="1">
        <v>153</v>
      </c>
      <c r="E458" s="3">
        <v>306</v>
      </c>
      <c r="F458" s="90">
        <v>2</v>
      </c>
    </row>
    <row r="459" spans="1:6" x14ac:dyDescent="0.3">
      <c r="A459" s="1" t="s">
        <v>54</v>
      </c>
      <c r="B459" s="1" t="s">
        <v>5</v>
      </c>
      <c r="C459" s="1">
        <v>0</v>
      </c>
      <c r="D459" s="1">
        <v>30</v>
      </c>
      <c r="E459" s="3">
        <v>0</v>
      </c>
      <c r="F459" s="90">
        <v>0</v>
      </c>
    </row>
    <row r="460" spans="1:6" x14ac:dyDescent="0.3">
      <c r="A460" s="1" t="s">
        <v>54</v>
      </c>
      <c r="B460" s="1" t="s">
        <v>5</v>
      </c>
      <c r="C460" s="1">
        <v>10</v>
      </c>
      <c r="D460" s="1">
        <v>23</v>
      </c>
      <c r="E460" s="3">
        <v>0</v>
      </c>
      <c r="F460" s="90">
        <v>0</v>
      </c>
    </row>
    <row r="461" spans="1:6" x14ac:dyDescent="0.3">
      <c r="A461" s="1" t="s">
        <v>54</v>
      </c>
      <c r="B461" s="1" t="s">
        <v>5</v>
      </c>
      <c r="C461" s="1">
        <v>11</v>
      </c>
      <c r="D461" s="1">
        <v>674</v>
      </c>
      <c r="E461" s="3">
        <v>7414</v>
      </c>
      <c r="F461" s="90">
        <v>11</v>
      </c>
    </row>
    <row r="462" spans="1:6" x14ac:dyDescent="0.3">
      <c r="A462" s="1" t="s">
        <v>54</v>
      </c>
      <c r="B462" s="1" t="s">
        <v>5</v>
      </c>
      <c r="C462" s="1">
        <v>12</v>
      </c>
      <c r="D462" s="1">
        <v>238</v>
      </c>
      <c r="E462" s="3">
        <v>4522</v>
      </c>
      <c r="F462" s="90">
        <v>19</v>
      </c>
    </row>
    <row r="463" spans="1:6" x14ac:dyDescent="0.3">
      <c r="A463" s="1" t="s">
        <v>54</v>
      </c>
      <c r="B463" s="1" t="s">
        <v>5</v>
      </c>
      <c r="C463" s="1">
        <v>13</v>
      </c>
      <c r="D463" s="1">
        <v>100</v>
      </c>
      <c r="E463" s="3">
        <v>596.79999999999995</v>
      </c>
      <c r="F463" s="90">
        <v>5.968</v>
      </c>
    </row>
    <row r="464" spans="1:6" x14ac:dyDescent="0.3">
      <c r="A464" s="1" t="s">
        <v>54</v>
      </c>
      <c r="B464" s="1" t="s">
        <v>5</v>
      </c>
      <c r="C464" s="1">
        <v>14</v>
      </c>
      <c r="D464" s="1">
        <v>7</v>
      </c>
      <c r="E464" s="3">
        <v>122.3</v>
      </c>
      <c r="F464" s="90">
        <v>17.4714285714286</v>
      </c>
    </row>
    <row r="465" spans="1:6" x14ac:dyDescent="0.3">
      <c r="A465" s="1" t="s">
        <v>54</v>
      </c>
      <c r="B465" s="1" t="s">
        <v>5</v>
      </c>
      <c r="C465" s="1">
        <v>15</v>
      </c>
      <c r="D465" s="1">
        <v>60</v>
      </c>
      <c r="E465" s="3">
        <v>575.79999999999995</v>
      </c>
      <c r="F465" s="90">
        <v>9.5966666666666693</v>
      </c>
    </row>
    <row r="466" spans="1:6" x14ac:dyDescent="0.3">
      <c r="A466" s="1" t="s">
        <v>55</v>
      </c>
      <c r="B466" s="1" t="s">
        <v>184</v>
      </c>
      <c r="C466" s="1">
        <v>0</v>
      </c>
      <c r="D466" s="1">
        <v>2</v>
      </c>
      <c r="E466" s="3">
        <v>0</v>
      </c>
      <c r="F466" s="90">
        <v>0</v>
      </c>
    </row>
    <row r="467" spans="1:6" x14ac:dyDescent="0.3">
      <c r="A467" s="1" t="s">
        <v>55</v>
      </c>
      <c r="B467" s="1" t="s">
        <v>184</v>
      </c>
      <c r="C467" s="1">
        <v>21</v>
      </c>
      <c r="D467" s="1">
        <v>69</v>
      </c>
      <c r="E467" s="3">
        <v>276</v>
      </c>
      <c r="F467" s="90">
        <v>4</v>
      </c>
    </row>
    <row r="468" spans="1:6" x14ac:dyDescent="0.3">
      <c r="A468" s="1" t="s">
        <v>55</v>
      </c>
      <c r="B468" s="1" t="s">
        <v>184</v>
      </c>
      <c r="C468" s="1">
        <v>22</v>
      </c>
      <c r="D468" s="1">
        <v>25</v>
      </c>
      <c r="E468" s="3">
        <v>100</v>
      </c>
      <c r="F468" s="90">
        <v>4</v>
      </c>
    </row>
    <row r="469" spans="1:6" x14ac:dyDescent="0.3">
      <c r="A469" s="1" t="s">
        <v>55</v>
      </c>
      <c r="B469" s="1" t="s">
        <v>183</v>
      </c>
      <c r="C469" s="1">
        <v>31</v>
      </c>
      <c r="D469" s="1">
        <v>84</v>
      </c>
      <c r="E469" s="3">
        <v>672</v>
      </c>
      <c r="F469" s="90">
        <v>8</v>
      </c>
    </row>
    <row r="470" spans="1:6" x14ac:dyDescent="0.3">
      <c r="A470" s="1" t="s">
        <v>55</v>
      </c>
      <c r="B470" s="1" t="s">
        <v>183</v>
      </c>
      <c r="C470" s="1">
        <v>32</v>
      </c>
      <c r="D470" s="1">
        <v>67</v>
      </c>
      <c r="E470" s="3">
        <v>670</v>
      </c>
      <c r="F470" s="90">
        <v>10</v>
      </c>
    </row>
    <row r="471" spans="1:6" x14ac:dyDescent="0.3">
      <c r="A471" s="1" t="s">
        <v>55</v>
      </c>
      <c r="B471" s="1" t="s">
        <v>183</v>
      </c>
      <c r="C471" s="1">
        <v>33</v>
      </c>
      <c r="D471" s="1">
        <v>1</v>
      </c>
      <c r="E471" s="3">
        <v>4</v>
      </c>
      <c r="F471" s="90">
        <v>4</v>
      </c>
    </row>
    <row r="472" spans="1:6" x14ac:dyDescent="0.3">
      <c r="A472" s="1" t="s">
        <v>55</v>
      </c>
      <c r="B472" s="1" t="s">
        <v>159</v>
      </c>
      <c r="C472" s="1">
        <v>41</v>
      </c>
      <c r="D472" s="1">
        <v>1</v>
      </c>
      <c r="E472" s="3">
        <v>2</v>
      </c>
      <c r="F472" s="90">
        <v>2</v>
      </c>
    </row>
    <row r="473" spans="1:6" x14ac:dyDescent="0.3">
      <c r="A473" s="1" t="s">
        <v>55</v>
      </c>
      <c r="B473" s="1" t="s">
        <v>159</v>
      </c>
      <c r="C473" s="1">
        <v>42</v>
      </c>
      <c r="D473" s="1">
        <v>20</v>
      </c>
      <c r="E473" s="3">
        <v>40</v>
      </c>
      <c r="F473" s="90">
        <v>2</v>
      </c>
    </row>
    <row r="474" spans="1:6" x14ac:dyDescent="0.3">
      <c r="A474" s="1" t="s">
        <v>55</v>
      </c>
      <c r="B474" s="1" t="s">
        <v>5</v>
      </c>
      <c r="C474" s="1">
        <v>0</v>
      </c>
      <c r="D474" s="1">
        <v>3</v>
      </c>
      <c r="E474" s="3">
        <v>0</v>
      </c>
      <c r="F474" s="90">
        <v>0</v>
      </c>
    </row>
    <row r="475" spans="1:6" x14ac:dyDescent="0.3">
      <c r="A475" s="1" t="s">
        <v>55</v>
      </c>
      <c r="B475" s="1" t="s">
        <v>5</v>
      </c>
      <c r="C475" s="1">
        <v>11</v>
      </c>
      <c r="D475" s="1">
        <v>94</v>
      </c>
      <c r="E475" s="3">
        <v>1034</v>
      </c>
      <c r="F475" s="90">
        <v>11</v>
      </c>
    </row>
    <row r="476" spans="1:6" x14ac:dyDescent="0.3">
      <c r="A476" s="1" t="s">
        <v>55</v>
      </c>
      <c r="B476" s="1" t="s">
        <v>5</v>
      </c>
      <c r="C476" s="1">
        <v>12</v>
      </c>
      <c r="D476" s="1">
        <v>126</v>
      </c>
      <c r="E476" s="3">
        <v>1386</v>
      </c>
      <c r="F476" s="90">
        <v>11</v>
      </c>
    </row>
    <row r="477" spans="1:6" x14ac:dyDescent="0.3">
      <c r="A477" s="1" t="s">
        <v>55</v>
      </c>
      <c r="B477" s="1" t="s">
        <v>5</v>
      </c>
      <c r="C477" s="1">
        <v>13</v>
      </c>
      <c r="D477" s="1">
        <v>9</v>
      </c>
      <c r="E477" s="3">
        <v>66.3</v>
      </c>
      <c r="F477" s="90">
        <v>7.3666666666666698</v>
      </c>
    </row>
    <row r="478" spans="1:6" x14ac:dyDescent="0.3">
      <c r="A478" s="1" t="s">
        <v>55</v>
      </c>
      <c r="B478" s="1" t="s">
        <v>5</v>
      </c>
      <c r="C478" s="1">
        <v>14</v>
      </c>
      <c r="D478" s="1">
        <v>1</v>
      </c>
      <c r="E478" s="3">
        <v>18</v>
      </c>
      <c r="F478" s="90">
        <v>18</v>
      </c>
    </row>
    <row r="479" spans="1:6" x14ac:dyDescent="0.3">
      <c r="A479" s="1" t="s">
        <v>55</v>
      </c>
      <c r="B479" s="1" t="s">
        <v>5</v>
      </c>
      <c r="C479" s="1">
        <v>15</v>
      </c>
      <c r="D479" s="1">
        <v>2</v>
      </c>
      <c r="E479" s="3">
        <v>16.600000000000001</v>
      </c>
      <c r="F479" s="90">
        <v>8.3000000000000007</v>
      </c>
    </row>
    <row r="480" spans="1:6" x14ac:dyDescent="0.3">
      <c r="A480" s="1" t="s">
        <v>56</v>
      </c>
      <c r="B480" s="1" t="s">
        <v>184</v>
      </c>
      <c r="C480" s="1">
        <v>0</v>
      </c>
      <c r="D480" s="1">
        <v>2</v>
      </c>
      <c r="E480" s="3">
        <v>0</v>
      </c>
      <c r="F480" s="90">
        <v>0</v>
      </c>
    </row>
    <row r="481" spans="1:6" x14ac:dyDescent="0.3">
      <c r="A481" s="1" t="s">
        <v>56</v>
      </c>
      <c r="B481" s="1" t="s">
        <v>184</v>
      </c>
      <c r="C481" s="1">
        <v>21</v>
      </c>
      <c r="D481" s="1">
        <v>79</v>
      </c>
      <c r="E481" s="3">
        <v>316</v>
      </c>
      <c r="F481" s="90">
        <v>4</v>
      </c>
    </row>
    <row r="482" spans="1:6" x14ac:dyDescent="0.3">
      <c r="A482" s="1" t="s">
        <v>56</v>
      </c>
      <c r="B482" s="1" t="s">
        <v>184</v>
      </c>
      <c r="C482" s="1">
        <v>22</v>
      </c>
      <c r="D482" s="1">
        <v>48</v>
      </c>
      <c r="E482" s="3">
        <v>192</v>
      </c>
      <c r="F482" s="90">
        <v>4</v>
      </c>
    </row>
    <row r="483" spans="1:6" x14ac:dyDescent="0.3">
      <c r="A483" s="1" t="s">
        <v>56</v>
      </c>
      <c r="B483" s="1" t="s">
        <v>184</v>
      </c>
      <c r="C483" s="1">
        <v>25</v>
      </c>
      <c r="D483" s="1">
        <v>1</v>
      </c>
      <c r="E483" s="3">
        <v>2</v>
      </c>
      <c r="F483" s="90">
        <v>2</v>
      </c>
    </row>
    <row r="484" spans="1:6" x14ac:dyDescent="0.3">
      <c r="A484" s="1" t="s">
        <v>56</v>
      </c>
      <c r="B484" s="1" t="s">
        <v>183</v>
      </c>
      <c r="C484" s="1">
        <v>0</v>
      </c>
      <c r="D484" s="1">
        <v>4</v>
      </c>
      <c r="E484" s="3">
        <v>0</v>
      </c>
      <c r="F484" s="90">
        <v>0</v>
      </c>
    </row>
    <row r="485" spans="1:6" x14ac:dyDescent="0.3">
      <c r="A485" s="1" t="s">
        <v>56</v>
      </c>
      <c r="B485" s="1" t="s">
        <v>183</v>
      </c>
      <c r="C485" s="1">
        <v>31</v>
      </c>
      <c r="D485" s="1">
        <v>165</v>
      </c>
      <c r="E485" s="3">
        <v>1320</v>
      </c>
      <c r="F485" s="90">
        <v>8</v>
      </c>
    </row>
    <row r="486" spans="1:6" x14ac:dyDescent="0.3">
      <c r="A486" s="1" t="s">
        <v>56</v>
      </c>
      <c r="B486" s="1" t="s">
        <v>183</v>
      </c>
      <c r="C486" s="1">
        <v>32</v>
      </c>
      <c r="D486" s="1">
        <v>97</v>
      </c>
      <c r="E486" s="3">
        <v>970</v>
      </c>
      <c r="F486" s="90">
        <v>10</v>
      </c>
    </row>
    <row r="487" spans="1:6" x14ac:dyDescent="0.3">
      <c r="A487" s="1" t="s">
        <v>56</v>
      </c>
      <c r="B487" s="1" t="s">
        <v>183</v>
      </c>
      <c r="C487" s="1">
        <v>33</v>
      </c>
      <c r="D487" s="1">
        <v>1</v>
      </c>
      <c r="E487" s="3">
        <v>4.4000000000000004</v>
      </c>
      <c r="F487" s="90">
        <v>4.4000000000000004</v>
      </c>
    </row>
    <row r="488" spans="1:6" x14ac:dyDescent="0.3">
      <c r="A488" s="1" t="s">
        <v>56</v>
      </c>
      <c r="B488" s="1" t="s">
        <v>183</v>
      </c>
      <c r="C488" s="1">
        <v>34</v>
      </c>
      <c r="D488" s="1">
        <v>2</v>
      </c>
      <c r="E488" s="3">
        <v>22</v>
      </c>
      <c r="F488" s="90">
        <v>11</v>
      </c>
    </row>
    <row r="489" spans="1:6" x14ac:dyDescent="0.3">
      <c r="A489" s="1" t="s">
        <v>56</v>
      </c>
      <c r="B489" s="1" t="s">
        <v>183</v>
      </c>
      <c r="C489" s="1">
        <v>35</v>
      </c>
      <c r="D489" s="1">
        <v>2</v>
      </c>
      <c r="E489" s="3">
        <v>6</v>
      </c>
      <c r="F489" s="90">
        <v>3</v>
      </c>
    </row>
    <row r="490" spans="1:6" x14ac:dyDescent="0.3">
      <c r="A490" s="1" t="s">
        <v>56</v>
      </c>
      <c r="B490" s="1" t="s">
        <v>159</v>
      </c>
      <c r="C490" s="1">
        <v>41</v>
      </c>
      <c r="D490" s="1">
        <v>2</v>
      </c>
      <c r="E490" s="3">
        <v>4</v>
      </c>
      <c r="F490" s="90">
        <v>2</v>
      </c>
    </row>
    <row r="491" spans="1:6" x14ac:dyDescent="0.3">
      <c r="A491" s="1" t="s">
        <v>56</v>
      </c>
      <c r="B491" s="1" t="s">
        <v>159</v>
      </c>
      <c r="C491" s="1">
        <v>42</v>
      </c>
      <c r="D491" s="1">
        <v>38</v>
      </c>
      <c r="E491" s="3">
        <v>76</v>
      </c>
      <c r="F491" s="90">
        <v>2</v>
      </c>
    </row>
    <row r="492" spans="1:6" x14ac:dyDescent="0.3">
      <c r="A492" s="1" t="s">
        <v>56</v>
      </c>
      <c r="B492" s="1" t="s">
        <v>5</v>
      </c>
      <c r="C492" s="1">
        <v>0</v>
      </c>
      <c r="D492" s="1">
        <v>2</v>
      </c>
      <c r="E492" s="3">
        <v>0</v>
      </c>
      <c r="F492" s="90">
        <v>0</v>
      </c>
    </row>
    <row r="493" spans="1:6" x14ac:dyDescent="0.3">
      <c r="A493" s="1" t="s">
        <v>56</v>
      </c>
      <c r="B493" s="1" t="s">
        <v>5</v>
      </c>
      <c r="C493" s="1">
        <v>11</v>
      </c>
      <c r="D493" s="1">
        <v>74</v>
      </c>
      <c r="E493" s="3">
        <v>814</v>
      </c>
      <c r="F493" s="90">
        <v>11</v>
      </c>
    </row>
    <row r="494" spans="1:6" x14ac:dyDescent="0.3">
      <c r="A494" s="1" t="s">
        <v>56</v>
      </c>
      <c r="B494" s="1" t="s">
        <v>5</v>
      </c>
      <c r="C494" s="1">
        <v>12</v>
      </c>
      <c r="D494" s="1">
        <v>35</v>
      </c>
      <c r="E494" s="3">
        <v>560</v>
      </c>
      <c r="F494" s="90">
        <v>16</v>
      </c>
    </row>
    <row r="495" spans="1:6" x14ac:dyDescent="0.3">
      <c r="A495" s="1" t="s">
        <v>56</v>
      </c>
      <c r="B495" s="1" t="s">
        <v>5</v>
      </c>
      <c r="C495" s="1">
        <v>13</v>
      </c>
      <c r="D495" s="1">
        <v>17</v>
      </c>
      <c r="E495" s="3">
        <v>91</v>
      </c>
      <c r="F495" s="90">
        <v>5.3529411764705896</v>
      </c>
    </row>
    <row r="496" spans="1:6" x14ac:dyDescent="0.3">
      <c r="A496" s="1" t="s">
        <v>56</v>
      </c>
      <c r="B496" s="1" t="s">
        <v>5</v>
      </c>
      <c r="C496" s="1">
        <v>14</v>
      </c>
      <c r="D496" s="1">
        <v>1</v>
      </c>
      <c r="E496" s="3">
        <v>15</v>
      </c>
      <c r="F496" s="90">
        <v>15</v>
      </c>
    </row>
    <row r="497" spans="1:6" x14ac:dyDescent="0.3">
      <c r="A497" s="1" t="s">
        <v>56</v>
      </c>
      <c r="B497" s="1" t="s">
        <v>5</v>
      </c>
      <c r="C497" s="1">
        <v>15</v>
      </c>
      <c r="D497" s="1">
        <v>4</v>
      </c>
      <c r="E497" s="3">
        <v>14</v>
      </c>
      <c r="F497" s="90">
        <v>3.5</v>
      </c>
    </row>
    <row r="498" spans="1:6" x14ac:dyDescent="0.3">
      <c r="A498" s="1" t="s">
        <v>57</v>
      </c>
      <c r="B498" s="1" t="s">
        <v>184</v>
      </c>
      <c r="C498" s="1">
        <v>0</v>
      </c>
      <c r="D498" s="1">
        <v>6</v>
      </c>
      <c r="E498" s="3">
        <v>0</v>
      </c>
      <c r="F498" s="90">
        <v>0</v>
      </c>
    </row>
    <row r="499" spans="1:6" x14ac:dyDescent="0.3">
      <c r="A499" s="1" t="s">
        <v>57</v>
      </c>
      <c r="B499" s="1" t="s">
        <v>184</v>
      </c>
      <c r="C499" s="1">
        <v>21</v>
      </c>
      <c r="D499" s="1">
        <v>201</v>
      </c>
      <c r="E499" s="3">
        <v>804</v>
      </c>
      <c r="F499" s="90">
        <v>4</v>
      </c>
    </row>
    <row r="500" spans="1:6" x14ac:dyDescent="0.3">
      <c r="A500" s="1" t="s">
        <v>57</v>
      </c>
      <c r="B500" s="1" t="s">
        <v>184</v>
      </c>
      <c r="C500" s="1">
        <v>22</v>
      </c>
      <c r="D500" s="1">
        <v>100</v>
      </c>
      <c r="E500" s="3">
        <v>400</v>
      </c>
      <c r="F500" s="90">
        <v>4</v>
      </c>
    </row>
    <row r="501" spans="1:6" x14ac:dyDescent="0.3">
      <c r="A501" s="1" t="s">
        <v>57</v>
      </c>
      <c r="B501" s="1" t="s">
        <v>184</v>
      </c>
      <c r="C501" s="1">
        <v>24</v>
      </c>
      <c r="D501" s="1">
        <v>3</v>
      </c>
      <c r="E501" s="3">
        <v>18.2</v>
      </c>
      <c r="F501" s="90">
        <v>6.06666666666667</v>
      </c>
    </row>
    <row r="502" spans="1:6" x14ac:dyDescent="0.3">
      <c r="A502" s="1" t="s">
        <v>57</v>
      </c>
      <c r="B502" s="1" t="s">
        <v>184</v>
      </c>
      <c r="C502" s="1">
        <v>26</v>
      </c>
      <c r="D502" s="1">
        <v>2</v>
      </c>
      <c r="E502" s="3">
        <v>30</v>
      </c>
      <c r="F502" s="90">
        <v>15</v>
      </c>
    </row>
    <row r="503" spans="1:6" x14ac:dyDescent="0.3">
      <c r="A503" s="1" t="s">
        <v>57</v>
      </c>
      <c r="B503" s="1" t="s">
        <v>183</v>
      </c>
      <c r="C503" s="1">
        <v>0</v>
      </c>
      <c r="D503" s="1">
        <v>5</v>
      </c>
      <c r="E503" s="3">
        <v>0</v>
      </c>
      <c r="F503" s="90">
        <v>0</v>
      </c>
    </row>
    <row r="504" spans="1:6" x14ac:dyDescent="0.3">
      <c r="A504" s="1" t="s">
        <v>57</v>
      </c>
      <c r="B504" s="1" t="s">
        <v>183</v>
      </c>
      <c r="C504" s="1">
        <v>31</v>
      </c>
      <c r="D504" s="1">
        <v>231</v>
      </c>
      <c r="E504" s="3">
        <v>1848</v>
      </c>
      <c r="F504" s="90">
        <v>8</v>
      </c>
    </row>
    <row r="505" spans="1:6" x14ac:dyDescent="0.3">
      <c r="A505" s="1" t="s">
        <v>57</v>
      </c>
      <c r="B505" s="1" t="s">
        <v>183</v>
      </c>
      <c r="C505" s="1">
        <v>32</v>
      </c>
      <c r="D505" s="1">
        <v>116</v>
      </c>
      <c r="E505" s="3">
        <v>1160</v>
      </c>
      <c r="F505" s="90">
        <v>10</v>
      </c>
    </row>
    <row r="506" spans="1:6" x14ac:dyDescent="0.3">
      <c r="A506" s="1" t="s">
        <v>57</v>
      </c>
      <c r="B506" s="1" t="s">
        <v>183</v>
      </c>
      <c r="C506" s="1">
        <v>33</v>
      </c>
      <c r="D506" s="1">
        <v>1</v>
      </c>
      <c r="E506" s="3">
        <v>5</v>
      </c>
      <c r="F506" s="90">
        <v>5</v>
      </c>
    </row>
    <row r="507" spans="1:6" x14ac:dyDescent="0.3">
      <c r="A507" s="1" t="s">
        <v>57</v>
      </c>
      <c r="B507" s="1" t="s">
        <v>183</v>
      </c>
      <c r="C507" s="1">
        <v>34</v>
      </c>
      <c r="D507" s="1">
        <v>1</v>
      </c>
      <c r="E507" s="3">
        <v>11</v>
      </c>
      <c r="F507" s="90">
        <v>11</v>
      </c>
    </row>
    <row r="508" spans="1:6" x14ac:dyDescent="0.3">
      <c r="A508" s="1" t="s">
        <v>57</v>
      </c>
      <c r="B508" s="1" t="s">
        <v>183</v>
      </c>
      <c r="C508" s="1">
        <v>35</v>
      </c>
      <c r="D508" s="1">
        <v>4</v>
      </c>
      <c r="E508" s="3">
        <v>8</v>
      </c>
      <c r="F508" s="90">
        <v>2</v>
      </c>
    </row>
    <row r="509" spans="1:6" x14ac:dyDescent="0.3">
      <c r="A509" s="1" t="s">
        <v>57</v>
      </c>
      <c r="B509" s="1" t="s">
        <v>159</v>
      </c>
      <c r="C509" s="1">
        <v>41</v>
      </c>
      <c r="D509" s="1">
        <v>2</v>
      </c>
      <c r="E509" s="3">
        <v>4</v>
      </c>
      <c r="F509" s="90">
        <v>2</v>
      </c>
    </row>
    <row r="510" spans="1:6" x14ac:dyDescent="0.3">
      <c r="A510" s="1" t="s">
        <v>57</v>
      </c>
      <c r="B510" s="1" t="s">
        <v>159</v>
      </c>
      <c r="C510" s="1">
        <v>42</v>
      </c>
      <c r="D510" s="1">
        <v>416</v>
      </c>
      <c r="E510" s="3">
        <v>832</v>
      </c>
      <c r="F510" s="90">
        <v>2</v>
      </c>
    </row>
    <row r="511" spans="1:6" x14ac:dyDescent="0.3">
      <c r="A511" s="1" t="s">
        <v>57</v>
      </c>
      <c r="B511" s="1" t="s">
        <v>5</v>
      </c>
      <c r="C511" s="1">
        <v>0</v>
      </c>
      <c r="D511" s="1">
        <v>906</v>
      </c>
      <c r="E511" s="3">
        <v>0</v>
      </c>
      <c r="F511" s="90">
        <v>0</v>
      </c>
    </row>
    <row r="512" spans="1:6" x14ac:dyDescent="0.3">
      <c r="A512" s="1" t="s">
        <v>57</v>
      </c>
      <c r="B512" s="1" t="s">
        <v>5</v>
      </c>
      <c r="C512" s="1">
        <v>10</v>
      </c>
      <c r="D512" s="1">
        <v>36</v>
      </c>
      <c r="E512" s="3">
        <v>0</v>
      </c>
      <c r="F512" s="90">
        <v>0</v>
      </c>
    </row>
    <row r="513" spans="1:6" x14ac:dyDescent="0.3">
      <c r="A513" s="1" t="s">
        <v>57</v>
      </c>
      <c r="B513" s="1" t="s">
        <v>5</v>
      </c>
      <c r="C513" s="1">
        <v>11</v>
      </c>
      <c r="D513" s="1">
        <v>1436</v>
      </c>
      <c r="E513" s="3">
        <v>15796</v>
      </c>
      <c r="F513" s="90">
        <v>11</v>
      </c>
    </row>
    <row r="514" spans="1:6" x14ac:dyDescent="0.3">
      <c r="A514" s="1" t="s">
        <v>57</v>
      </c>
      <c r="B514" s="1" t="s">
        <v>5</v>
      </c>
      <c r="C514" s="1">
        <v>12</v>
      </c>
      <c r="D514" s="1">
        <v>1370</v>
      </c>
      <c r="E514" s="3">
        <v>20550</v>
      </c>
      <c r="F514" s="90">
        <v>15</v>
      </c>
    </row>
    <row r="515" spans="1:6" x14ac:dyDescent="0.3">
      <c r="A515" s="1" t="s">
        <v>57</v>
      </c>
      <c r="B515" s="1" t="s">
        <v>5</v>
      </c>
      <c r="C515" s="1">
        <v>13</v>
      </c>
      <c r="D515" s="1">
        <v>250</v>
      </c>
      <c r="E515" s="3">
        <v>1606.3</v>
      </c>
      <c r="F515" s="90">
        <v>6.4252000000000002</v>
      </c>
    </row>
    <row r="516" spans="1:6" x14ac:dyDescent="0.3">
      <c r="A516" s="1" t="s">
        <v>57</v>
      </c>
      <c r="B516" s="1" t="s">
        <v>5</v>
      </c>
      <c r="C516" s="1">
        <v>14</v>
      </c>
      <c r="D516" s="1">
        <v>112</v>
      </c>
      <c r="E516" s="3">
        <v>1869.4</v>
      </c>
      <c r="F516" s="90">
        <v>16.691071428571401</v>
      </c>
    </row>
    <row r="517" spans="1:6" x14ac:dyDescent="0.3">
      <c r="A517" s="1" t="s">
        <v>57</v>
      </c>
      <c r="B517" s="1" t="s">
        <v>5</v>
      </c>
      <c r="C517" s="1">
        <v>15</v>
      </c>
      <c r="D517" s="1">
        <v>210</v>
      </c>
      <c r="E517" s="3">
        <v>1336.9</v>
      </c>
      <c r="F517" s="90">
        <v>6.3661904761904697</v>
      </c>
    </row>
    <row r="518" spans="1:6" x14ac:dyDescent="0.3">
      <c r="A518" s="1" t="s">
        <v>57</v>
      </c>
      <c r="B518" s="1" t="s">
        <v>5</v>
      </c>
      <c r="C518" s="1">
        <v>16</v>
      </c>
      <c r="D518" s="1">
        <v>23</v>
      </c>
      <c r="E518" s="3">
        <v>526</v>
      </c>
      <c r="F518" s="90">
        <v>22.869565217391301</v>
      </c>
    </row>
    <row r="519" spans="1:6" x14ac:dyDescent="0.3">
      <c r="A519" s="1" t="s">
        <v>58</v>
      </c>
      <c r="B519" s="1" t="s">
        <v>184</v>
      </c>
      <c r="C519" s="1">
        <v>21</v>
      </c>
      <c r="D519" s="1">
        <v>169</v>
      </c>
      <c r="E519" s="3">
        <v>676</v>
      </c>
      <c r="F519" s="90">
        <v>4</v>
      </c>
    </row>
    <row r="520" spans="1:6" x14ac:dyDescent="0.3">
      <c r="A520" s="1" t="s">
        <v>58</v>
      </c>
      <c r="B520" s="1" t="s">
        <v>184</v>
      </c>
      <c r="C520" s="1">
        <v>22</v>
      </c>
      <c r="D520" s="1">
        <v>54</v>
      </c>
      <c r="E520" s="3">
        <v>216</v>
      </c>
      <c r="F520" s="90">
        <v>4</v>
      </c>
    </row>
    <row r="521" spans="1:6" x14ac:dyDescent="0.3">
      <c r="A521" s="1" t="s">
        <v>58</v>
      </c>
      <c r="B521" s="1" t="s">
        <v>184</v>
      </c>
      <c r="C521" s="1">
        <v>25</v>
      </c>
      <c r="D521" s="1">
        <v>2</v>
      </c>
      <c r="E521" s="3">
        <v>6</v>
      </c>
      <c r="F521" s="90">
        <v>3</v>
      </c>
    </row>
    <row r="522" spans="1:6" x14ac:dyDescent="0.3">
      <c r="A522" s="1" t="s">
        <v>58</v>
      </c>
      <c r="B522" s="1" t="s">
        <v>183</v>
      </c>
      <c r="C522" s="1">
        <v>0</v>
      </c>
      <c r="D522" s="1">
        <v>4</v>
      </c>
      <c r="E522" s="3">
        <v>0</v>
      </c>
      <c r="F522" s="90">
        <v>0</v>
      </c>
    </row>
    <row r="523" spans="1:6" x14ac:dyDescent="0.3">
      <c r="A523" s="1" t="s">
        <v>58</v>
      </c>
      <c r="B523" s="1" t="s">
        <v>183</v>
      </c>
      <c r="C523" s="1">
        <v>31</v>
      </c>
      <c r="D523" s="1">
        <v>367</v>
      </c>
      <c r="E523" s="3">
        <v>2936</v>
      </c>
      <c r="F523" s="90">
        <v>8</v>
      </c>
    </row>
    <row r="524" spans="1:6" x14ac:dyDescent="0.3">
      <c r="A524" s="1" t="s">
        <v>58</v>
      </c>
      <c r="B524" s="1" t="s">
        <v>183</v>
      </c>
      <c r="C524" s="1">
        <v>32</v>
      </c>
      <c r="D524" s="1">
        <v>211</v>
      </c>
      <c r="E524" s="3">
        <v>2110</v>
      </c>
      <c r="F524" s="90">
        <v>10</v>
      </c>
    </row>
    <row r="525" spans="1:6" x14ac:dyDescent="0.3">
      <c r="A525" s="1" t="s">
        <v>58</v>
      </c>
      <c r="B525" s="1" t="s">
        <v>183</v>
      </c>
      <c r="C525" s="1">
        <v>35</v>
      </c>
      <c r="D525" s="1">
        <v>1</v>
      </c>
      <c r="E525" s="3">
        <v>4</v>
      </c>
      <c r="F525" s="90">
        <v>4</v>
      </c>
    </row>
    <row r="526" spans="1:6" x14ac:dyDescent="0.3">
      <c r="A526" s="1" t="s">
        <v>58</v>
      </c>
      <c r="B526" s="1" t="s">
        <v>159</v>
      </c>
      <c r="C526" s="1">
        <v>41</v>
      </c>
      <c r="D526" s="1">
        <v>1</v>
      </c>
      <c r="E526" s="3">
        <v>2</v>
      </c>
      <c r="F526" s="90">
        <v>2</v>
      </c>
    </row>
    <row r="527" spans="1:6" x14ac:dyDescent="0.3">
      <c r="A527" s="1" t="s">
        <v>58</v>
      </c>
      <c r="B527" s="1" t="s">
        <v>159</v>
      </c>
      <c r="C527" s="1">
        <v>42</v>
      </c>
      <c r="D527" s="1">
        <v>46</v>
      </c>
      <c r="E527" s="3">
        <v>92</v>
      </c>
      <c r="F527" s="90">
        <v>2</v>
      </c>
    </row>
    <row r="528" spans="1:6" x14ac:dyDescent="0.3">
      <c r="A528" s="1" t="s">
        <v>58</v>
      </c>
      <c r="B528" s="1" t="s">
        <v>5</v>
      </c>
      <c r="C528" s="1">
        <v>0</v>
      </c>
      <c r="D528" s="1">
        <v>3</v>
      </c>
      <c r="E528" s="3">
        <v>0</v>
      </c>
      <c r="F528" s="90">
        <v>0</v>
      </c>
    </row>
    <row r="529" spans="1:6" x14ac:dyDescent="0.3">
      <c r="A529" s="1" t="s">
        <v>58</v>
      </c>
      <c r="B529" s="1" t="s">
        <v>5</v>
      </c>
      <c r="C529" s="1">
        <v>10</v>
      </c>
      <c r="D529" s="1">
        <v>2</v>
      </c>
      <c r="E529" s="3">
        <v>0</v>
      </c>
      <c r="F529" s="90">
        <v>0</v>
      </c>
    </row>
    <row r="530" spans="1:6" x14ac:dyDescent="0.3">
      <c r="A530" s="1" t="s">
        <v>58</v>
      </c>
      <c r="B530" s="1" t="s">
        <v>5</v>
      </c>
      <c r="C530" s="1">
        <v>11</v>
      </c>
      <c r="D530" s="1">
        <v>202</v>
      </c>
      <c r="E530" s="3">
        <v>2222</v>
      </c>
      <c r="F530" s="90">
        <v>11</v>
      </c>
    </row>
    <row r="531" spans="1:6" x14ac:dyDescent="0.3">
      <c r="A531" s="1" t="s">
        <v>58</v>
      </c>
      <c r="B531" s="1" t="s">
        <v>5</v>
      </c>
      <c r="C531" s="1">
        <v>12</v>
      </c>
      <c r="D531" s="1">
        <v>57</v>
      </c>
      <c r="E531" s="3">
        <v>969</v>
      </c>
      <c r="F531" s="90">
        <v>17</v>
      </c>
    </row>
    <row r="532" spans="1:6" x14ac:dyDescent="0.3">
      <c r="A532" s="1" t="s">
        <v>58</v>
      </c>
      <c r="B532" s="1" t="s">
        <v>5</v>
      </c>
      <c r="C532" s="1">
        <v>13</v>
      </c>
      <c r="D532" s="1">
        <v>3</v>
      </c>
      <c r="E532" s="3">
        <v>18.600000000000001</v>
      </c>
      <c r="F532" s="90">
        <v>6.2</v>
      </c>
    </row>
    <row r="533" spans="1:6" x14ac:dyDescent="0.3">
      <c r="A533" s="1" t="s">
        <v>58</v>
      </c>
      <c r="B533" s="1" t="s">
        <v>5</v>
      </c>
      <c r="C533" s="1">
        <v>14</v>
      </c>
      <c r="D533" s="1">
        <v>1</v>
      </c>
      <c r="E533" s="3">
        <v>15</v>
      </c>
      <c r="F533" s="90">
        <v>15</v>
      </c>
    </row>
    <row r="534" spans="1:6" x14ac:dyDescent="0.3">
      <c r="A534" s="1" t="s">
        <v>58</v>
      </c>
      <c r="B534" s="1" t="s">
        <v>5</v>
      </c>
      <c r="C534" s="1">
        <v>15</v>
      </c>
      <c r="D534" s="1">
        <v>4</v>
      </c>
      <c r="E534" s="3">
        <v>18</v>
      </c>
      <c r="F534" s="90">
        <v>4.5</v>
      </c>
    </row>
    <row r="535" spans="1:6" x14ac:dyDescent="0.3">
      <c r="A535" s="1" t="s">
        <v>59</v>
      </c>
      <c r="B535" s="1" t="s">
        <v>184</v>
      </c>
      <c r="C535" s="1">
        <v>0</v>
      </c>
      <c r="D535" s="1">
        <v>15</v>
      </c>
      <c r="E535" s="3">
        <v>0</v>
      </c>
      <c r="F535" s="90">
        <v>0</v>
      </c>
    </row>
    <row r="536" spans="1:6" x14ac:dyDescent="0.3">
      <c r="A536" s="1" t="s">
        <v>59</v>
      </c>
      <c r="B536" s="1" t="s">
        <v>184</v>
      </c>
      <c r="C536" s="1">
        <v>21</v>
      </c>
      <c r="D536" s="1">
        <v>629</v>
      </c>
      <c r="E536" s="3">
        <v>2516</v>
      </c>
      <c r="F536" s="90">
        <v>4</v>
      </c>
    </row>
    <row r="537" spans="1:6" x14ac:dyDescent="0.3">
      <c r="A537" s="1" t="s">
        <v>59</v>
      </c>
      <c r="B537" s="1" t="s">
        <v>184</v>
      </c>
      <c r="C537" s="1">
        <v>22</v>
      </c>
      <c r="D537" s="1">
        <v>379</v>
      </c>
      <c r="E537" s="3">
        <v>1516</v>
      </c>
      <c r="F537" s="90">
        <v>4</v>
      </c>
    </row>
    <row r="538" spans="1:6" x14ac:dyDescent="0.3">
      <c r="A538" s="1" t="s">
        <v>59</v>
      </c>
      <c r="B538" s="1" t="s">
        <v>184</v>
      </c>
      <c r="C538" s="1">
        <v>25</v>
      </c>
      <c r="D538" s="1">
        <v>2</v>
      </c>
      <c r="E538" s="3">
        <v>4</v>
      </c>
      <c r="F538" s="90">
        <v>2</v>
      </c>
    </row>
    <row r="539" spans="1:6" x14ac:dyDescent="0.3">
      <c r="A539" s="1" t="s">
        <v>59</v>
      </c>
      <c r="B539" s="1" t="s">
        <v>184</v>
      </c>
      <c r="C539" s="1">
        <v>26</v>
      </c>
      <c r="D539" s="1">
        <v>7</v>
      </c>
      <c r="E539" s="3">
        <v>76</v>
      </c>
      <c r="F539" s="90">
        <v>10.8571428571429</v>
      </c>
    </row>
    <row r="540" spans="1:6" x14ac:dyDescent="0.3">
      <c r="A540" s="1" t="s">
        <v>59</v>
      </c>
      <c r="B540" s="1" t="s">
        <v>183</v>
      </c>
      <c r="C540" s="1">
        <v>0</v>
      </c>
      <c r="D540" s="1">
        <v>31</v>
      </c>
      <c r="E540" s="3">
        <v>0</v>
      </c>
      <c r="F540" s="90">
        <v>0</v>
      </c>
    </row>
    <row r="541" spans="1:6" x14ac:dyDescent="0.3">
      <c r="A541" s="1" t="s">
        <v>59</v>
      </c>
      <c r="B541" s="1" t="s">
        <v>183</v>
      </c>
      <c r="C541" s="1">
        <v>31</v>
      </c>
      <c r="D541" s="1">
        <v>1613</v>
      </c>
      <c r="E541" s="3">
        <v>12904</v>
      </c>
      <c r="F541" s="90">
        <v>8</v>
      </c>
    </row>
    <row r="542" spans="1:6" x14ac:dyDescent="0.3">
      <c r="A542" s="1" t="s">
        <v>59</v>
      </c>
      <c r="B542" s="1" t="s">
        <v>183</v>
      </c>
      <c r="C542" s="1">
        <v>32</v>
      </c>
      <c r="D542" s="1">
        <v>1220</v>
      </c>
      <c r="E542" s="3">
        <v>12200</v>
      </c>
      <c r="F542" s="90">
        <v>10</v>
      </c>
    </row>
    <row r="543" spans="1:6" x14ac:dyDescent="0.3">
      <c r="A543" s="1" t="s">
        <v>59</v>
      </c>
      <c r="B543" s="1" t="s">
        <v>183</v>
      </c>
      <c r="C543" s="1">
        <v>34</v>
      </c>
      <c r="D543" s="1">
        <v>5</v>
      </c>
      <c r="E543" s="3">
        <v>49.6</v>
      </c>
      <c r="F543" s="90">
        <v>9.92</v>
      </c>
    </row>
    <row r="544" spans="1:6" x14ac:dyDescent="0.3">
      <c r="A544" s="1" t="s">
        <v>59</v>
      </c>
      <c r="B544" s="1" t="s">
        <v>183</v>
      </c>
      <c r="C544" s="1">
        <v>35</v>
      </c>
      <c r="D544" s="1">
        <v>13</v>
      </c>
      <c r="E544" s="3">
        <v>47.6</v>
      </c>
      <c r="F544" s="90">
        <v>3.6615384615384601</v>
      </c>
    </row>
    <row r="545" spans="1:6" x14ac:dyDescent="0.3">
      <c r="A545" s="1" t="s">
        <v>59</v>
      </c>
      <c r="B545" s="1" t="s">
        <v>159</v>
      </c>
      <c r="C545" s="1">
        <v>41</v>
      </c>
      <c r="D545" s="1">
        <v>14</v>
      </c>
      <c r="E545" s="3">
        <v>28</v>
      </c>
      <c r="F545" s="90">
        <v>2</v>
      </c>
    </row>
    <row r="546" spans="1:6" x14ac:dyDescent="0.3">
      <c r="A546" s="1" t="s">
        <v>59</v>
      </c>
      <c r="B546" s="1" t="s">
        <v>159</v>
      </c>
      <c r="C546" s="1">
        <v>42</v>
      </c>
      <c r="D546" s="1">
        <v>332</v>
      </c>
      <c r="E546" s="3">
        <v>664</v>
      </c>
      <c r="F546" s="90">
        <v>2</v>
      </c>
    </row>
    <row r="547" spans="1:6" x14ac:dyDescent="0.3">
      <c r="A547" s="1" t="s">
        <v>59</v>
      </c>
      <c r="B547" s="1" t="s">
        <v>5</v>
      </c>
      <c r="C547" s="1">
        <v>0</v>
      </c>
      <c r="D547" s="1">
        <v>50</v>
      </c>
      <c r="E547" s="3">
        <v>0</v>
      </c>
      <c r="F547" s="90">
        <v>0</v>
      </c>
    </row>
    <row r="548" spans="1:6" x14ac:dyDescent="0.3">
      <c r="A548" s="1" t="s">
        <v>59</v>
      </c>
      <c r="B548" s="1" t="s">
        <v>5</v>
      </c>
      <c r="C548" s="1">
        <v>10</v>
      </c>
      <c r="D548" s="1">
        <v>1</v>
      </c>
      <c r="E548" s="3">
        <v>0</v>
      </c>
      <c r="F548" s="90">
        <v>0</v>
      </c>
    </row>
    <row r="549" spans="1:6" x14ac:dyDescent="0.3">
      <c r="A549" s="1" t="s">
        <v>59</v>
      </c>
      <c r="B549" s="1" t="s">
        <v>5</v>
      </c>
      <c r="C549" s="1">
        <v>11</v>
      </c>
      <c r="D549" s="1">
        <v>1348</v>
      </c>
      <c r="E549" s="3">
        <v>14828</v>
      </c>
      <c r="F549" s="90">
        <v>11</v>
      </c>
    </row>
    <row r="550" spans="1:6" x14ac:dyDescent="0.3">
      <c r="A550" s="1" t="s">
        <v>59</v>
      </c>
      <c r="B550" s="1" t="s">
        <v>5</v>
      </c>
      <c r="C550" s="1">
        <v>12</v>
      </c>
      <c r="D550" s="1">
        <v>501</v>
      </c>
      <c r="E550" s="3">
        <v>8016</v>
      </c>
      <c r="F550" s="90">
        <v>16</v>
      </c>
    </row>
    <row r="551" spans="1:6" x14ac:dyDescent="0.3">
      <c r="A551" s="1" t="s">
        <v>59</v>
      </c>
      <c r="B551" s="1" t="s">
        <v>5</v>
      </c>
      <c r="C551" s="1">
        <v>13</v>
      </c>
      <c r="D551" s="1">
        <v>50</v>
      </c>
      <c r="E551" s="3">
        <v>356.5</v>
      </c>
      <c r="F551" s="90">
        <v>7.13</v>
      </c>
    </row>
    <row r="552" spans="1:6" x14ac:dyDescent="0.3">
      <c r="A552" s="1" t="s">
        <v>59</v>
      </c>
      <c r="B552" s="1" t="s">
        <v>5</v>
      </c>
      <c r="C552" s="1">
        <v>14</v>
      </c>
      <c r="D552" s="1">
        <v>2</v>
      </c>
      <c r="E552" s="3">
        <v>30</v>
      </c>
      <c r="F552" s="90">
        <v>15</v>
      </c>
    </row>
    <row r="553" spans="1:6" x14ac:dyDescent="0.3">
      <c r="A553" s="1" t="s">
        <v>59</v>
      </c>
      <c r="B553" s="1" t="s">
        <v>5</v>
      </c>
      <c r="C553" s="1">
        <v>15</v>
      </c>
      <c r="D553" s="1">
        <v>54</v>
      </c>
      <c r="E553" s="3">
        <v>361.6</v>
      </c>
      <c r="F553" s="90">
        <v>6.6962962962962997</v>
      </c>
    </row>
    <row r="554" spans="1:6" x14ac:dyDescent="0.3">
      <c r="A554" s="1" t="s">
        <v>60</v>
      </c>
      <c r="B554" s="1" t="s">
        <v>184</v>
      </c>
      <c r="C554" s="1">
        <v>0</v>
      </c>
      <c r="D554" s="1">
        <v>2</v>
      </c>
      <c r="E554" s="3">
        <v>0</v>
      </c>
      <c r="F554" s="90">
        <v>0</v>
      </c>
    </row>
    <row r="555" spans="1:6" x14ac:dyDescent="0.3">
      <c r="A555" s="1" t="s">
        <v>60</v>
      </c>
      <c r="B555" s="1" t="s">
        <v>184</v>
      </c>
      <c r="C555" s="1">
        <v>21</v>
      </c>
      <c r="D555" s="1">
        <v>27</v>
      </c>
      <c r="E555" s="3">
        <v>108</v>
      </c>
      <c r="F555" s="90">
        <v>4</v>
      </c>
    </row>
    <row r="556" spans="1:6" x14ac:dyDescent="0.3">
      <c r="A556" s="1" t="s">
        <v>60</v>
      </c>
      <c r="B556" s="1" t="s">
        <v>184</v>
      </c>
      <c r="C556" s="1">
        <v>22</v>
      </c>
      <c r="D556" s="1">
        <v>23</v>
      </c>
      <c r="E556" s="3">
        <v>92</v>
      </c>
      <c r="F556" s="90">
        <v>4</v>
      </c>
    </row>
    <row r="557" spans="1:6" x14ac:dyDescent="0.3">
      <c r="A557" s="1" t="s">
        <v>60</v>
      </c>
      <c r="B557" s="1" t="s">
        <v>184</v>
      </c>
      <c r="C557" s="1">
        <v>23</v>
      </c>
      <c r="D557" s="1">
        <v>1</v>
      </c>
      <c r="E557" s="3">
        <v>1</v>
      </c>
      <c r="F557" s="90">
        <v>1</v>
      </c>
    </row>
    <row r="558" spans="1:6" x14ac:dyDescent="0.3">
      <c r="A558" s="1" t="s">
        <v>60</v>
      </c>
      <c r="B558" s="1" t="s">
        <v>183</v>
      </c>
      <c r="C558" s="1">
        <v>0</v>
      </c>
      <c r="D558" s="1">
        <v>4</v>
      </c>
      <c r="E558" s="3">
        <v>0</v>
      </c>
      <c r="F558" s="90">
        <v>0</v>
      </c>
    </row>
    <row r="559" spans="1:6" x14ac:dyDescent="0.3">
      <c r="A559" s="1" t="s">
        <v>60</v>
      </c>
      <c r="B559" s="1" t="s">
        <v>183</v>
      </c>
      <c r="C559" s="1">
        <v>31</v>
      </c>
      <c r="D559" s="1">
        <v>66</v>
      </c>
      <c r="E559" s="3">
        <v>528</v>
      </c>
      <c r="F559" s="90">
        <v>8</v>
      </c>
    </row>
    <row r="560" spans="1:6" x14ac:dyDescent="0.3">
      <c r="A560" s="1" t="s">
        <v>60</v>
      </c>
      <c r="B560" s="1" t="s">
        <v>183</v>
      </c>
      <c r="C560" s="1">
        <v>32</v>
      </c>
      <c r="D560" s="1">
        <v>64</v>
      </c>
      <c r="E560" s="3">
        <v>640</v>
      </c>
      <c r="F560" s="90">
        <v>10</v>
      </c>
    </row>
    <row r="561" spans="1:6" x14ac:dyDescent="0.3">
      <c r="A561" s="1" t="s">
        <v>60</v>
      </c>
      <c r="B561" s="1" t="s">
        <v>159</v>
      </c>
      <c r="C561" s="1">
        <v>42</v>
      </c>
      <c r="D561" s="1">
        <v>15</v>
      </c>
      <c r="E561" s="3">
        <v>30</v>
      </c>
      <c r="F561" s="90">
        <v>2</v>
      </c>
    </row>
    <row r="562" spans="1:6" x14ac:dyDescent="0.3">
      <c r="A562" s="1" t="s">
        <v>60</v>
      </c>
      <c r="B562" s="1" t="s">
        <v>5</v>
      </c>
      <c r="C562" s="1">
        <v>0</v>
      </c>
      <c r="D562" s="1">
        <v>5</v>
      </c>
      <c r="E562" s="3">
        <v>0</v>
      </c>
      <c r="F562" s="90">
        <v>0</v>
      </c>
    </row>
    <row r="563" spans="1:6" x14ac:dyDescent="0.3">
      <c r="A563" s="1" t="s">
        <v>60</v>
      </c>
      <c r="B563" s="1" t="s">
        <v>5</v>
      </c>
      <c r="C563" s="1">
        <v>11</v>
      </c>
      <c r="D563" s="1">
        <v>219</v>
      </c>
      <c r="E563" s="3">
        <v>2409</v>
      </c>
      <c r="F563" s="90">
        <v>11</v>
      </c>
    </row>
    <row r="564" spans="1:6" x14ac:dyDescent="0.3">
      <c r="A564" s="1" t="s">
        <v>60</v>
      </c>
      <c r="B564" s="1" t="s">
        <v>5</v>
      </c>
      <c r="C564" s="1">
        <v>12</v>
      </c>
      <c r="D564" s="1">
        <v>50</v>
      </c>
      <c r="E564" s="3">
        <v>500</v>
      </c>
      <c r="F564" s="90">
        <v>10</v>
      </c>
    </row>
    <row r="565" spans="1:6" x14ac:dyDescent="0.3">
      <c r="A565" s="1" t="s">
        <v>60</v>
      </c>
      <c r="B565" s="1" t="s">
        <v>5</v>
      </c>
      <c r="C565" s="1">
        <v>13</v>
      </c>
      <c r="D565" s="1">
        <v>193</v>
      </c>
      <c r="E565" s="3">
        <v>258.39999999999998</v>
      </c>
      <c r="F565" s="90">
        <v>1.3388601036269401</v>
      </c>
    </row>
    <row r="566" spans="1:6" x14ac:dyDescent="0.3">
      <c r="A566" s="1" t="s">
        <v>60</v>
      </c>
      <c r="B566" s="1" t="s">
        <v>5</v>
      </c>
      <c r="C566" s="1">
        <v>15</v>
      </c>
      <c r="D566" s="1">
        <v>812</v>
      </c>
      <c r="E566" s="3">
        <v>877.3</v>
      </c>
      <c r="F566" s="90">
        <v>1.08041871921182</v>
      </c>
    </row>
    <row r="567" spans="1:6" x14ac:dyDescent="0.3">
      <c r="A567" s="1" t="s">
        <v>60</v>
      </c>
      <c r="B567" s="1" t="s">
        <v>5</v>
      </c>
      <c r="C567" s="1">
        <v>16</v>
      </c>
      <c r="D567" s="1">
        <v>232</v>
      </c>
      <c r="E567" s="3">
        <v>2552</v>
      </c>
      <c r="F567" s="90">
        <v>11</v>
      </c>
    </row>
    <row r="568" spans="1:6" x14ac:dyDescent="0.3">
      <c r="A568" s="1" t="s">
        <v>61</v>
      </c>
      <c r="B568" s="1" t="s">
        <v>184</v>
      </c>
      <c r="C568" s="1">
        <v>0</v>
      </c>
      <c r="D568" s="1">
        <v>1</v>
      </c>
      <c r="E568" s="3">
        <v>0</v>
      </c>
      <c r="F568" s="90">
        <v>0</v>
      </c>
    </row>
    <row r="569" spans="1:6" x14ac:dyDescent="0.3">
      <c r="A569" s="1" t="s">
        <v>61</v>
      </c>
      <c r="B569" s="1" t="s">
        <v>184</v>
      </c>
      <c r="C569" s="1">
        <v>21</v>
      </c>
      <c r="D569" s="1">
        <v>60</v>
      </c>
      <c r="E569" s="3">
        <v>240</v>
      </c>
      <c r="F569" s="90">
        <v>4</v>
      </c>
    </row>
    <row r="570" spans="1:6" x14ac:dyDescent="0.3">
      <c r="A570" s="1" t="s">
        <v>61</v>
      </c>
      <c r="B570" s="1" t="s">
        <v>184</v>
      </c>
      <c r="C570" s="1">
        <v>22</v>
      </c>
      <c r="D570" s="1">
        <v>22</v>
      </c>
      <c r="E570" s="3">
        <v>88</v>
      </c>
      <c r="F570" s="90">
        <v>4</v>
      </c>
    </row>
    <row r="571" spans="1:6" x14ac:dyDescent="0.3">
      <c r="A571" s="1" t="s">
        <v>61</v>
      </c>
      <c r="B571" s="1" t="s">
        <v>183</v>
      </c>
      <c r="C571" s="1">
        <v>0</v>
      </c>
      <c r="D571" s="1">
        <v>1</v>
      </c>
      <c r="E571" s="3">
        <v>0</v>
      </c>
      <c r="F571" s="90">
        <v>0</v>
      </c>
    </row>
    <row r="572" spans="1:6" x14ac:dyDescent="0.3">
      <c r="A572" s="1" t="s">
        <v>61</v>
      </c>
      <c r="B572" s="1" t="s">
        <v>183</v>
      </c>
      <c r="C572" s="1">
        <v>31</v>
      </c>
      <c r="D572" s="1">
        <v>174</v>
      </c>
      <c r="E572" s="3">
        <v>1392</v>
      </c>
      <c r="F572" s="90">
        <v>8</v>
      </c>
    </row>
    <row r="573" spans="1:6" x14ac:dyDescent="0.3">
      <c r="A573" s="1" t="s">
        <v>61</v>
      </c>
      <c r="B573" s="1" t="s">
        <v>183</v>
      </c>
      <c r="C573" s="1">
        <v>32</v>
      </c>
      <c r="D573" s="1">
        <v>47</v>
      </c>
      <c r="E573" s="3">
        <v>470</v>
      </c>
      <c r="F573" s="90">
        <v>10</v>
      </c>
    </row>
    <row r="574" spans="1:6" x14ac:dyDescent="0.3">
      <c r="A574" s="1" t="s">
        <v>61</v>
      </c>
      <c r="B574" s="1" t="s">
        <v>183</v>
      </c>
      <c r="C574" s="1">
        <v>35</v>
      </c>
      <c r="D574" s="1">
        <v>1</v>
      </c>
      <c r="E574" s="3">
        <v>4</v>
      </c>
      <c r="F574" s="90">
        <v>4</v>
      </c>
    </row>
    <row r="575" spans="1:6" x14ac:dyDescent="0.3">
      <c r="A575" s="1" t="s">
        <v>61</v>
      </c>
      <c r="B575" s="1" t="s">
        <v>159</v>
      </c>
      <c r="C575" s="1">
        <v>42</v>
      </c>
      <c r="D575" s="1">
        <v>15</v>
      </c>
      <c r="E575" s="3">
        <v>30</v>
      </c>
      <c r="F575" s="90">
        <v>2</v>
      </c>
    </row>
    <row r="576" spans="1:6" x14ac:dyDescent="0.3">
      <c r="A576" s="1" t="s">
        <v>61</v>
      </c>
      <c r="B576" s="1" t="s">
        <v>5</v>
      </c>
      <c r="C576" s="1">
        <v>0</v>
      </c>
      <c r="D576" s="1">
        <v>6</v>
      </c>
      <c r="E576" s="3">
        <v>0</v>
      </c>
      <c r="F576" s="90">
        <v>0</v>
      </c>
    </row>
    <row r="577" spans="1:6" x14ac:dyDescent="0.3">
      <c r="A577" s="1" t="s">
        <v>61</v>
      </c>
      <c r="B577" s="1" t="s">
        <v>5</v>
      </c>
      <c r="C577" s="1">
        <v>11</v>
      </c>
      <c r="D577" s="1">
        <v>56</v>
      </c>
      <c r="E577" s="3">
        <v>616</v>
      </c>
      <c r="F577" s="90">
        <v>11</v>
      </c>
    </row>
    <row r="578" spans="1:6" x14ac:dyDescent="0.3">
      <c r="A578" s="1" t="s">
        <v>61</v>
      </c>
      <c r="B578" s="1" t="s">
        <v>5</v>
      </c>
      <c r="C578" s="1">
        <v>12</v>
      </c>
      <c r="D578" s="1">
        <v>13</v>
      </c>
      <c r="E578" s="3">
        <v>234</v>
      </c>
      <c r="F578" s="90">
        <v>18</v>
      </c>
    </row>
    <row r="579" spans="1:6" x14ac:dyDescent="0.3">
      <c r="A579" s="1" t="s">
        <v>61</v>
      </c>
      <c r="B579" s="1" t="s">
        <v>5</v>
      </c>
      <c r="C579" s="1">
        <v>13</v>
      </c>
      <c r="D579" s="1">
        <v>6</v>
      </c>
      <c r="E579" s="3">
        <v>22</v>
      </c>
      <c r="F579" s="90">
        <v>3.6666666666666701</v>
      </c>
    </row>
    <row r="580" spans="1:6" x14ac:dyDescent="0.3">
      <c r="A580" s="1" t="s">
        <v>61</v>
      </c>
      <c r="B580" s="1" t="s">
        <v>5</v>
      </c>
      <c r="C580" s="1">
        <v>15</v>
      </c>
      <c r="D580" s="1">
        <v>1</v>
      </c>
      <c r="E580" s="3">
        <v>10</v>
      </c>
      <c r="F580" s="90">
        <v>10</v>
      </c>
    </row>
    <row r="581" spans="1:6" x14ac:dyDescent="0.3">
      <c r="A581" s="1" t="s">
        <v>62</v>
      </c>
      <c r="B581" s="1" t="s">
        <v>184</v>
      </c>
      <c r="C581" s="1">
        <v>21</v>
      </c>
      <c r="D581" s="1">
        <v>3</v>
      </c>
      <c r="E581" s="3">
        <v>12</v>
      </c>
      <c r="F581" s="90">
        <v>4</v>
      </c>
    </row>
    <row r="582" spans="1:6" x14ac:dyDescent="0.3">
      <c r="A582" s="1" t="s">
        <v>62</v>
      </c>
      <c r="B582" s="1" t="s">
        <v>184</v>
      </c>
      <c r="C582" s="1">
        <v>22</v>
      </c>
      <c r="D582" s="1">
        <v>3</v>
      </c>
      <c r="E582" s="3">
        <v>12</v>
      </c>
      <c r="F582" s="90">
        <v>4</v>
      </c>
    </row>
    <row r="583" spans="1:6" x14ac:dyDescent="0.3">
      <c r="A583" s="1" t="s">
        <v>62</v>
      </c>
      <c r="B583" s="1" t="s">
        <v>183</v>
      </c>
      <c r="C583" s="1">
        <v>31</v>
      </c>
      <c r="D583" s="1">
        <v>37</v>
      </c>
      <c r="E583" s="3">
        <v>296</v>
      </c>
      <c r="F583" s="90">
        <v>8</v>
      </c>
    </row>
    <row r="584" spans="1:6" x14ac:dyDescent="0.3">
      <c r="A584" s="1" t="s">
        <v>62</v>
      </c>
      <c r="B584" s="1" t="s">
        <v>183</v>
      </c>
      <c r="C584" s="1">
        <v>32</v>
      </c>
      <c r="D584" s="1">
        <v>12</v>
      </c>
      <c r="E584" s="3">
        <v>120</v>
      </c>
      <c r="F584" s="90">
        <v>10</v>
      </c>
    </row>
    <row r="585" spans="1:6" x14ac:dyDescent="0.3">
      <c r="A585" s="1" t="s">
        <v>62</v>
      </c>
      <c r="B585" s="1" t="s">
        <v>5</v>
      </c>
      <c r="C585" s="1">
        <v>0</v>
      </c>
      <c r="D585" s="1">
        <v>1</v>
      </c>
      <c r="E585" s="3">
        <v>0</v>
      </c>
      <c r="F585" s="90">
        <v>0</v>
      </c>
    </row>
    <row r="586" spans="1:6" x14ac:dyDescent="0.3">
      <c r="A586" s="1" t="s">
        <v>62</v>
      </c>
      <c r="B586" s="1" t="s">
        <v>5</v>
      </c>
      <c r="C586" s="1">
        <v>14</v>
      </c>
      <c r="D586" s="1">
        <v>4</v>
      </c>
      <c r="E586" s="3">
        <v>44</v>
      </c>
      <c r="F586" s="90">
        <v>11</v>
      </c>
    </row>
    <row r="587" spans="1:6" x14ac:dyDescent="0.3">
      <c r="A587" s="1" t="s">
        <v>62</v>
      </c>
      <c r="B587" s="1" t="s">
        <v>5</v>
      </c>
      <c r="C587" s="1">
        <v>16</v>
      </c>
      <c r="D587" s="1">
        <v>4</v>
      </c>
      <c r="E587" s="3">
        <v>44</v>
      </c>
      <c r="F587" s="90">
        <v>11</v>
      </c>
    </row>
    <row r="588" spans="1:6" x14ac:dyDescent="0.3">
      <c r="A588" s="1" t="s">
        <v>64</v>
      </c>
      <c r="B588" s="1" t="s">
        <v>184</v>
      </c>
      <c r="C588" s="1">
        <v>21</v>
      </c>
      <c r="D588" s="1">
        <v>16</v>
      </c>
      <c r="E588" s="3">
        <v>64</v>
      </c>
      <c r="F588" s="90">
        <v>4</v>
      </c>
    </row>
    <row r="589" spans="1:6" x14ac:dyDescent="0.3">
      <c r="A589" s="1" t="s">
        <v>64</v>
      </c>
      <c r="B589" s="1" t="s">
        <v>184</v>
      </c>
      <c r="C589" s="1">
        <v>22</v>
      </c>
      <c r="D589" s="1">
        <v>2</v>
      </c>
      <c r="E589" s="3">
        <v>8</v>
      </c>
      <c r="F589" s="90">
        <v>4</v>
      </c>
    </row>
    <row r="590" spans="1:6" x14ac:dyDescent="0.3">
      <c r="A590" s="1" t="s">
        <v>64</v>
      </c>
      <c r="B590" s="1" t="s">
        <v>183</v>
      </c>
      <c r="C590" s="1">
        <v>31</v>
      </c>
      <c r="D590" s="1">
        <v>127</v>
      </c>
      <c r="E590" s="3">
        <v>1016</v>
      </c>
      <c r="F590" s="90">
        <v>8</v>
      </c>
    </row>
    <row r="591" spans="1:6" x14ac:dyDescent="0.3">
      <c r="A591" s="1" t="s">
        <v>64</v>
      </c>
      <c r="B591" s="1" t="s">
        <v>183</v>
      </c>
      <c r="C591" s="1">
        <v>32</v>
      </c>
      <c r="D591" s="1">
        <v>9</v>
      </c>
      <c r="E591" s="3">
        <v>90</v>
      </c>
      <c r="F591" s="90">
        <v>10</v>
      </c>
    </row>
    <row r="592" spans="1:6" x14ac:dyDescent="0.3">
      <c r="A592" s="1" t="s">
        <v>64</v>
      </c>
      <c r="B592" s="1" t="s">
        <v>183</v>
      </c>
      <c r="C592" s="1">
        <v>34</v>
      </c>
      <c r="D592" s="1">
        <v>1</v>
      </c>
      <c r="E592" s="3">
        <v>11</v>
      </c>
      <c r="F592" s="90">
        <v>11</v>
      </c>
    </row>
    <row r="593" spans="1:6" x14ac:dyDescent="0.3">
      <c r="A593" s="1" t="s">
        <v>64</v>
      </c>
      <c r="B593" s="1" t="s">
        <v>5</v>
      </c>
      <c r="C593" s="1">
        <v>0</v>
      </c>
      <c r="D593" s="1">
        <v>2</v>
      </c>
      <c r="E593" s="3">
        <v>0</v>
      </c>
      <c r="F593" s="90">
        <v>0</v>
      </c>
    </row>
    <row r="594" spans="1:6" x14ac:dyDescent="0.3">
      <c r="A594" s="1" t="s">
        <v>64</v>
      </c>
      <c r="B594" s="1" t="s">
        <v>5</v>
      </c>
      <c r="C594" s="1">
        <v>11</v>
      </c>
      <c r="D594" s="1">
        <v>29</v>
      </c>
      <c r="E594" s="3">
        <v>319</v>
      </c>
      <c r="F594" s="90">
        <v>11</v>
      </c>
    </row>
    <row r="595" spans="1:6" x14ac:dyDescent="0.3">
      <c r="A595" s="1" t="s">
        <v>64</v>
      </c>
      <c r="B595" s="1" t="s">
        <v>5</v>
      </c>
      <c r="C595" s="1">
        <v>12</v>
      </c>
      <c r="D595" s="1">
        <v>2</v>
      </c>
      <c r="E595" s="3">
        <v>22</v>
      </c>
      <c r="F595" s="90">
        <v>11</v>
      </c>
    </row>
    <row r="596" spans="1:6" x14ac:dyDescent="0.3">
      <c r="A596" s="1" t="s">
        <v>64</v>
      </c>
      <c r="B596" s="1" t="s">
        <v>5</v>
      </c>
      <c r="C596" s="1">
        <v>13</v>
      </c>
      <c r="D596" s="1">
        <v>4</v>
      </c>
      <c r="E596" s="3">
        <v>33.200000000000003</v>
      </c>
      <c r="F596" s="90">
        <v>8.3000000000000007</v>
      </c>
    </row>
    <row r="597" spans="1:6" x14ac:dyDescent="0.3">
      <c r="A597" s="1" t="s">
        <v>64</v>
      </c>
      <c r="B597" s="1" t="s">
        <v>5</v>
      </c>
      <c r="C597" s="1">
        <v>14</v>
      </c>
      <c r="D597" s="1">
        <v>1</v>
      </c>
      <c r="E597" s="3">
        <v>30</v>
      </c>
      <c r="F597" s="90">
        <v>30</v>
      </c>
    </row>
    <row r="598" spans="1:6" x14ac:dyDescent="0.3">
      <c r="A598" s="1" t="s">
        <v>65</v>
      </c>
      <c r="B598" s="1" t="s">
        <v>183</v>
      </c>
      <c r="C598" s="1">
        <v>31</v>
      </c>
      <c r="D598" s="1">
        <v>4</v>
      </c>
      <c r="E598" s="3">
        <v>32</v>
      </c>
      <c r="F598" s="90">
        <v>8</v>
      </c>
    </row>
    <row r="599" spans="1:6" x14ac:dyDescent="0.3">
      <c r="A599" s="1" t="s">
        <v>66</v>
      </c>
      <c r="B599" s="1" t="s">
        <v>183</v>
      </c>
      <c r="C599" s="1">
        <v>31</v>
      </c>
      <c r="D599" s="1">
        <v>1</v>
      </c>
      <c r="E599" s="3">
        <v>8</v>
      </c>
      <c r="F599" s="90">
        <v>8</v>
      </c>
    </row>
    <row r="600" spans="1:6" x14ac:dyDescent="0.3">
      <c r="A600" s="1" t="s">
        <v>67</v>
      </c>
      <c r="B600" s="1" t="s">
        <v>184</v>
      </c>
      <c r="C600" s="1">
        <v>21</v>
      </c>
      <c r="D600" s="1">
        <v>1</v>
      </c>
      <c r="E600" s="3">
        <v>4</v>
      </c>
      <c r="F600" s="90">
        <v>4</v>
      </c>
    </row>
    <row r="601" spans="1:6" x14ac:dyDescent="0.3">
      <c r="A601" s="1" t="s">
        <v>67</v>
      </c>
      <c r="B601" s="1" t="s">
        <v>183</v>
      </c>
      <c r="C601" s="1">
        <v>31</v>
      </c>
      <c r="D601" s="1">
        <v>4</v>
      </c>
      <c r="E601" s="3">
        <v>32</v>
      </c>
      <c r="F601" s="90">
        <v>8</v>
      </c>
    </row>
    <row r="602" spans="1:6" x14ac:dyDescent="0.3">
      <c r="A602" s="1" t="s">
        <v>67</v>
      </c>
      <c r="B602" s="1" t="s">
        <v>183</v>
      </c>
      <c r="C602" s="1">
        <v>32</v>
      </c>
      <c r="D602" s="1">
        <v>1</v>
      </c>
      <c r="E602" s="3">
        <v>10</v>
      </c>
      <c r="F602" s="90">
        <v>10</v>
      </c>
    </row>
    <row r="603" spans="1:6" x14ac:dyDescent="0.3">
      <c r="A603" s="1" t="s">
        <v>67</v>
      </c>
      <c r="B603" s="1" t="s">
        <v>5</v>
      </c>
      <c r="C603" s="1">
        <v>11</v>
      </c>
      <c r="D603" s="1">
        <v>1</v>
      </c>
      <c r="E603" s="3">
        <v>11</v>
      </c>
      <c r="F603" s="90">
        <v>11</v>
      </c>
    </row>
    <row r="604" spans="1:6" x14ac:dyDescent="0.3">
      <c r="A604" s="1" t="s">
        <v>68</v>
      </c>
      <c r="B604" s="1" t="s">
        <v>184</v>
      </c>
      <c r="C604" s="1">
        <v>0</v>
      </c>
      <c r="D604" s="1">
        <v>4</v>
      </c>
      <c r="E604" s="3">
        <v>0</v>
      </c>
      <c r="F604" s="90">
        <v>0</v>
      </c>
    </row>
    <row r="605" spans="1:6" x14ac:dyDescent="0.3">
      <c r="A605" s="1" t="s">
        <v>68</v>
      </c>
      <c r="B605" s="1" t="s">
        <v>184</v>
      </c>
      <c r="C605" s="1">
        <v>21</v>
      </c>
      <c r="D605" s="1">
        <v>475</v>
      </c>
      <c r="E605" s="3">
        <v>1900</v>
      </c>
      <c r="F605" s="90">
        <v>4</v>
      </c>
    </row>
    <row r="606" spans="1:6" x14ac:dyDescent="0.3">
      <c r="A606" s="1" t="s">
        <v>68</v>
      </c>
      <c r="B606" s="1" t="s">
        <v>184</v>
      </c>
      <c r="C606" s="1">
        <v>24</v>
      </c>
      <c r="D606" s="1">
        <v>2</v>
      </c>
      <c r="E606" s="3">
        <v>16</v>
      </c>
      <c r="F606" s="90">
        <v>8</v>
      </c>
    </row>
    <row r="607" spans="1:6" x14ac:dyDescent="0.3">
      <c r="A607" s="1" t="s">
        <v>68</v>
      </c>
      <c r="B607" s="1" t="s">
        <v>183</v>
      </c>
      <c r="C607" s="1">
        <v>0</v>
      </c>
      <c r="D607" s="1">
        <v>2</v>
      </c>
      <c r="E607" s="3">
        <v>0</v>
      </c>
      <c r="F607" s="90">
        <v>0</v>
      </c>
    </row>
    <row r="608" spans="1:6" x14ac:dyDescent="0.3">
      <c r="A608" s="1" t="s">
        <v>68</v>
      </c>
      <c r="B608" s="1" t="s">
        <v>183</v>
      </c>
      <c r="C608" s="1">
        <v>31</v>
      </c>
      <c r="D608" s="1">
        <v>633</v>
      </c>
      <c r="E608" s="3">
        <v>5064</v>
      </c>
      <c r="F608" s="90">
        <v>8</v>
      </c>
    </row>
    <row r="609" spans="1:6" x14ac:dyDescent="0.3">
      <c r="A609" s="1" t="s">
        <v>68</v>
      </c>
      <c r="B609" s="1" t="s">
        <v>183</v>
      </c>
      <c r="C609" s="1">
        <v>33</v>
      </c>
      <c r="D609" s="1">
        <v>3</v>
      </c>
      <c r="E609" s="3">
        <v>12</v>
      </c>
      <c r="F609" s="90">
        <v>4</v>
      </c>
    </row>
    <row r="610" spans="1:6" x14ac:dyDescent="0.3">
      <c r="A610" s="1" t="s">
        <v>68</v>
      </c>
      <c r="B610" s="1" t="s">
        <v>183</v>
      </c>
      <c r="C610" s="1">
        <v>34</v>
      </c>
      <c r="D610" s="1">
        <v>2</v>
      </c>
      <c r="E610" s="3">
        <v>20</v>
      </c>
      <c r="F610" s="90">
        <v>10</v>
      </c>
    </row>
    <row r="611" spans="1:6" x14ac:dyDescent="0.3">
      <c r="A611" s="1" t="s">
        <v>68</v>
      </c>
      <c r="B611" s="1" t="s">
        <v>183</v>
      </c>
      <c r="C611" s="1">
        <v>35</v>
      </c>
      <c r="D611" s="1">
        <v>1</v>
      </c>
      <c r="E611" s="3">
        <v>2</v>
      </c>
      <c r="F611" s="90">
        <v>2</v>
      </c>
    </row>
    <row r="612" spans="1:6" x14ac:dyDescent="0.3">
      <c r="A612" s="1" t="s">
        <v>68</v>
      </c>
      <c r="B612" s="1" t="s">
        <v>159</v>
      </c>
      <c r="C612" s="1">
        <v>41</v>
      </c>
      <c r="D612" s="1">
        <v>11</v>
      </c>
      <c r="E612" s="3">
        <v>22</v>
      </c>
      <c r="F612" s="90">
        <v>2</v>
      </c>
    </row>
    <row r="613" spans="1:6" x14ac:dyDescent="0.3">
      <c r="A613" s="1" t="s">
        <v>68</v>
      </c>
      <c r="B613" s="1" t="s">
        <v>159</v>
      </c>
      <c r="C613" s="1">
        <v>42</v>
      </c>
      <c r="D613" s="1">
        <v>82</v>
      </c>
      <c r="E613" s="3">
        <v>164</v>
      </c>
      <c r="F613" s="90">
        <v>2</v>
      </c>
    </row>
    <row r="614" spans="1:6" x14ac:dyDescent="0.3">
      <c r="A614" s="1" t="s">
        <v>68</v>
      </c>
      <c r="B614" s="1" t="s">
        <v>5</v>
      </c>
      <c r="C614" s="1">
        <v>0</v>
      </c>
      <c r="D614" s="1">
        <v>21</v>
      </c>
      <c r="E614" s="3">
        <v>0</v>
      </c>
      <c r="F614" s="90">
        <v>0</v>
      </c>
    </row>
    <row r="615" spans="1:6" x14ac:dyDescent="0.3">
      <c r="A615" s="1" t="s">
        <v>68</v>
      </c>
      <c r="B615" s="1" t="s">
        <v>5</v>
      </c>
      <c r="C615" s="1">
        <v>10</v>
      </c>
      <c r="D615" s="1">
        <v>1</v>
      </c>
      <c r="E615" s="3">
        <v>0</v>
      </c>
      <c r="F615" s="90">
        <v>0</v>
      </c>
    </row>
    <row r="616" spans="1:6" x14ac:dyDescent="0.3">
      <c r="A616" s="1" t="s">
        <v>68</v>
      </c>
      <c r="B616" s="1" t="s">
        <v>5</v>
      </c>
      <c r="C616" s="1">
        <v>11</v>
      </c>
      <c r="D616" s="1">
        <v>6011</v>
      </c>
      <c r="E616" s="3">
        <v>60110</v>
      </c>
      <c r="F616" s="90">
        <v>10</v>
      </c>
    </row>
    <row r="617" spans="1:6" x14ac:dyDescent="0.3">
      <c r="A617" s="1" t="s">
        <v>68</v>
      </c>
      <c r="B617" s="1" t="s">
        <v>5</v>
      </c>
      <c r="C617" s="1">
        <v>13</v>
      </c>
      <c r="D617" s="1">
        <v>14</v>
      </c>
      <c r="E617" s="3">
        <v>114</v>
      </c>
      <c r="F617" s="90">
        <v>8.1428571428571406</v>
      </c>
    </row>
    <row r="618" spans="1:6" x14ac:dyDescent="0.3">
      <c r="A618" s="1" t="s">
        <v>68</v>
      </c>
      <c r="B618" s="1" t="s">
        <v>5</v>
      </c>
      <c r="C618" s="1">
        <v>14</v>
      </c>
      <c r="D618" s="1">
        <v>255</v>
      </c>
      <c r="E618" s="3">
        <v>3474.8</v>
      </c>
      <c r="F618" s="90">
        <v>13.626666666666701</v>
      </c>
    </row>
    <row r="619" spans="1:6" x14ac:dyDescent="0.3">
      <c r="A619" s="1" t="s">
        <v>68</v>
      </c>
      <c r="B619" s="1" t="s">
        <v>5</v>
      </c>
      <c r="C619" s="1">
        <v>15</v>
      </c>
      <c r="D619" s="1">
        <v>4</v>
      </c>
      <c r="E619" s="3">
        <v>24</v>
      </c>
      <c r="F619" s="90">
        <v>6</v>
      </c>
    </row>
    <row r="620" spans="1:6" x14ac:dyDescent="0.3">
      <c r="A620" s="1" t="s">
        <v>69</v>
      </c>
      <c r="B620" s="1" t="s">
        <v>184</v>
      </c>
      <c r="C620" s="1">
        <v>0</v>
      </c>
      <c r="D620" s="1">
        <v>1</v>
      </c>
      <c r="E620" s="3">
        <v>0</v>
      </c>
      <c r="F620" s="90">
        <v>0</v>
      </c>
    </row>
    <row r="621" spans="1:6" x14ac:dyDescent="0.3">
      <c r="A621" s="1" t="s">
        <v>69</v>
      </c>
      <c r="B621" s="1" t="s">
        <v>184</v>
      </c>
      <c r="C621" s="1">
        <v>21</v>
      </c>
      <c r="D621" s="1">
        <v>4</v>
      </c>
      <c r="E621" s="3">
        <v>16</v>
      </c>
      <c r="F621" s="90">
        <v>4</v>
      </c>
    </row>
    <row r="622" spans="1:6" x14ac:dyDescent="0.3">
      <c r="A622" s="1" t="s">
        <v>69</v>
      </c>
      <c r="B622" s="1" t="s">
        <v>183</v>
      </c>
      <c r="C622" s="1">
        <v>31</v>
      </c>
      <c r="D622" s="1">
        <v>4</v>
      </c>
      <c r="E622" s="3">
        <v>32</v>
      </c>
      <c r="F622" s="90">
        <v>8</v>
      </c>
    </row>
    <row r="623" spans="1:6" x14ac:dyDescent="0.3">
      <c r="A623" s="1" t="s">
        <v>69</v>
      </c>
      <c r="B623" s="1" t="s">
        <v>159</v>
      </c>
      <c r="C623" s="1">
        <v>42</v>
      </c>
      <c r="D623" s="1">
        <v>2</v>
      </c>
      <c r="E623" s="3">
        <v>4</v>
      </c>
      <c r="F623" s="90">
        <v>2</v>
      </c>
    </row>
    <row r="624" spans="1:6" x14ac:dyDescent="0.3">
      <c r="A624" s="1" t="s">
        <v>69</v>
      </c>
      <c r="B624" s="1" t="s">
        <v>5</v>
      </c>
      <c r="C624" s="1">
        <v>11</v>
      </c>
      <c r="D624" s="1">
        <v>44</v>
      </c>
      <c r="E624" s="3">
        <v>440</v>
      </c>
      <c r="F624" s="90">
        <v>10</v>
      </c>
    </row>
    <row r="625" spans="1:6" x14ac:dyDescent="0.3">
      <c r="A625" s="1" t="s">
        <v>69</v>
      </c>
      <c r="B625" s="1" t="s">
        <v>5</v>
      </c>
      <c r="C625" s="1">
        <v>13</v>
      </c>
      <c r="D625" s="1">
        <v>1</v>
      </c>
      <c r="E625" s="3">
        <v>7.5</v>
      </c>
      <c r="F625" s="90">
        <v>7.5</v>
      </c>
    </row>
    <row r="626" spans="1:6" x14ac:dyDescent="0.3">
      <c r="A626" s="1" t="s">
        <v>69</v>
      </c>
      <c r="B626" s="1" t="s">
        <v>5</v>
      </c>
      <c r="C626" s="1">
        <v>14</v>
      </c>
      <c r="D626" s="1">
        <v>3</v>
      </c>
      <c r="E626" s="3">
        <v>39</v>
      </c>
      <c r="F626" s="90">
        <v>13</v>
      </c>
    </row>
    <row r="627" spans="1:6" x14ac:dyDescent="0.3">
      <c r="A627" s="1" t="s">
        <v>70</v>
      </c>
      <c r="B627" s="1" t="s">
        <v>184</v>
      </c>
      <c r="C627" s="1">
        <v>21</v>
      </c>
      <c r="D627" s="1">
        <v>255</v>
      </c>
      <c r="E627" s="3">
        <v>1020</v>
      </c>
      <c r="F627" s="90">
        <v>4</v>
      </c>
    </row>
    <row r="628" spans="1:6" x14ac:dyDescent="0.3">
      <c r="A628" s="1" t="s">
        <v>70</v>
      </c>
      <c r="B628" s="1" t="s">
        <v>184</v>
      </c>
      <c r="C628" s="1">
        <v>22</v>
      </c>
      <c r="D628" s="1">
        <v>105</v>
      </c>
      <c r="E628" s="3">
        <v>420</v>
      </c>
      <c r="F628" s="90">
        <v>4</v>
      </c>
    </row>
    <row r="629" spans="1:6" x14ac:dyDescent="0.3">
      <c r="A629" s="1" t="s">
        <v>70</v>
      </c>
      <c r="B629" s="1" t="s">
        <v>184</v>
      </c>
      <c r="C629" s="1">
        <v>24</v>
      </c>
      <c r="D629" s="1">
        <v>2</v>
      </c>
      <c r="E629" s="3">
        <v>20</v>
      </c>
      <c r="F629" s="90">
        <v>10</v>
      </c>
    </row>
    <row r="630" spans="1:6" x14ac:dyDescent="0.3">
      <c r="A630" s="1" t="s">
        <v>70</v>
      </c>
      <c r="B630" s="1" t="s">
        <v>184</v>
      </c>
      <c r="C630" s="1">
        <v>26</v>
      </c>
      <c r="D630" s="1">
        <v>1</v>
      </c>
      <c r="E630" s="3">
        <v>5</v>
      </c>
      <c r="F630" s="90">
        <v>5</v>
      </c>
    </row>
    <row r="631" spans="1:6" x14ac:dyDescent="0.3">
      <c r="A631" s="1" t="s">
        <v>70</v>
      </c>
      <c r="B631" s="1" t="s">
        <v>183</v>
      </c>
      <c r="C631" s="1">
        <v>0</v>
      </c>
      <c r="D631" s="1">
        <v>5</v>
      </c>
      <c r="E631" s="3">
        <v>0</v>
      </c>
      <c r="F631" s="90">
        <v>0</v>
      </c>
    </row>
    <row r="632" spans="1:6" x14ac:dyDescent="0.3">
      <c r="A632" s="1" t="s">
        <v>70</v>
      </c>
      <c r="B632" s="1" t="s">
        <v>183</v>
      </c>
      <c r="C632" s="1">
        <v>31</v>
      </c>
      <c r="D632" s="1">
        <v>552</v>
      </c>
      <c r="E632" s="3">
        <v>4416</v>
      </c>
      <c r="F632" s="90">
        <v>8</v>
      </c>
    </row>
    <row r="633" spans="1:6" x14ac:dyDescent="0.3">
      <c r="A633" s="1" t="s">
        <v>70</v>
      </c>
      <c r="B633" s="1" t="s">
        <v>183</v>
      </c>
      <c r="C633" s="1">
        <v>32</v>
      </c>
      <c r="D633" s="1">
        <v>298</v>
      </c>
      <c r="E633" s="3">
        <v>2980</v>
      </c>
      <c r="F633" s="90">
        <v>10</v>
      </c>
    </row>
    <row r="634" spans="1:6" x14ac:dyDescent="0.3">
      <c r="A634" s="1" t="s">
        <v>70</v>
      </c>
      <c r="B634" s="1" t="s">
        <v>183</v>
      </c>
      <c r="C634" s="1">
        <v>34</v>
      </c>
      <c r="D634" s="1">
        <v>3</v>
      </c>
      <c r="E634" s="3">
        <v>38</v>
      </c>
      <c r="F634" s="90">
        <v>12.6666666666667</v>
      </c>
    </row>
    <row r="635" spans="1:6" x14ac:dyDescent="0.3">
      <c r="A635" s="1" t="s">
        <v>70</v>
      </c>
      <c r="B635" s="1" t="s">
        <v>183</v>
      </c>
      <c r="C635" s="1">
        <v>35</v>
      </c>
      <c r="D635" s="1">
        <v>5</v>
      </c>
      <c r="E635" s="3">
        <v>25</v>
      </c>
      <c r="F635" s="90">
        <v>5</v>
      </c>
    </row>
    <row r="636" spans="1:6" x14ac:dyDescent="0.3">
      <c r="A636" s="1" t="s">
        <v>70</v>
      </c>
      <c r="B636" s="1" t="s">
        <v>183</v>
      </c>
      <c r="C636" s="1">
        <v>36</v>
      </c>
      <c r="D636" s="1">
        <v>4</v>
      </c>
      <c r="E636" s="3">
        <v>54</v>
      </c>
      <c r="F636" s="90">
        <v>13.5</v>
      </c>
    </row>
    <row r="637" spans="1:6" x14ac:dyDescent="0.3">
      <c r="A637" s="1" t="s">
        <v>70</v>
      </c>
      <c r="B637" s="1" t="s">
        <v>159</v>
      </c>
      <c r="C637" s="1">
        <v>41</v>
      </c>
      <c r="D637" s="1">
        <v>4</v>
      </c>
      <c r="E637" s="3">
        <v>8</v>
      </c>
      <c r="F637" s="90">
        <v>2</v>
      </c>
    </row>
    <row r="638" spans="1:6" x14ac:dyDescent="0.3">
      <c r="A638" s="1" t="s">
        <v>70</v>
      </c>
      <c r="B638" s="1" t="s">
        <v>159</v>
      </c>
      <c r="C638" s="1">
        <v>42</v>
      </c>
      <c r="D638" s="1">
        <v>97</v>
      </c>
      <c r="E638" s="3">
        <v>194</v>
      </c>
      <c r="F638" s="90">
        <v>2</v>
      </c>
    </row>
    <row r="639" spans="1:6" x14ac:dyDescent="0.3">
      <c r="A639" s="1" t="s">
        <v>70</v>
      </c>
      <c r="B639" s="1" t="s">
        <v>5</v>
      </c>
      <c r="C639" s="1">
        <v>0</v>
      </c>
      <c r="D639" s="1">
        <v>6</v>
      </c>
      <c r="E639" s="3">
        <v>0</v>
      </c>
      <c r="F639" s="90">
        <v>0</v>
      </c>
    </row>
    <row r="640" spans="1:6" x14ac:dyDescent="0.3">
      <c r="A640" s="1" t="s">
        <v>70</v>
      </c>
      <c r="B640" s="1" t="s">
        <v>5</v>
      </c>
      <c r="C640" s="1">
        <v>10</v>
      </c>
      <c r="D640" s="1">
        <v>2</v>
      </c>
      <c r="E640" s="3">
        <v>0</v>
      </c>
      <c r="F640" s="90">
        <v>0</v>
      </c>
    </row>
    <row r="641" spans="1:6" x14ac:dyDescent="0.3">
      <c r="A641" s="1" t="s">
        <v>70</v>
      </c>
      <c r="B641" s="1" t="s">
        <v>5</v>
      </c>
      <c r="C641" s="1">
        <v>11</v>
      </c>
      <c r="D641" s="1">
        <v>1472</v>
      </c>
      <c r="E641" s="3">
        <v>14720</v>
      </c>
      <c r="F641" s="90">
        <v>10</v>
      </c>
    </row>
    <row r="642" spans="1:6" x14ac:dyDescent="0.3">
      <c r="A642" s="1" t="s">
        <v>70</v>
      </c>
      <c r="B642" s="1" t="s">
        <v>5</v>
      </c>
      <c r="C642" s="1">
        <v>12</v>
      </c>
      <c r="D642" s="1">
        <v>409</v>
      </c>
      <c r="E642" s="3">
        <v>5317</v>
      </c>
      <c r="F642" s="90">
        <v>13</v>
      </c>
    </row>
    <row r="643" spans="1:6" x14ac:dyDescent="0.3">
      <c r="A643" s="1" t="s">
        <v>70</v>
      </c>
      <c r="B643" s="1" t="s">
        <v>5</v>
      </c>
      <c r="C643" s="1">
        <v>13</v>
      </c>
      <c r="D643" s="1">
        <v>18</v>
      </c>
      <c r="E643" s="3">
        <v>122.7</v>
      </c>
      <c r="F643" s="90">
        <v>6.81666666666667</v>
      </c>
    </row>
    <row r="644" spans="1:6" x14ac:dyDescent="0.3">
      <c r="A644" s="1" t="s">
        <v>70</v>
      </c>
      <c r="B644" s="1" t="s">
        <v>5</v>
      </c>
      <c r="C644" s="1">
        <v>14</v>
      </c>
      <c r="D644" s="1">
        <v>24</v>
      </c>
      <c r="E644" s="3">
        <v>377.5</v>
      </c>
      <c r="F644" s="90">
        <v>15.7291666666667</v>
      </c>
    </row>
    <row r="645" spans="1:6" x14ac:dyDescent="0.3">
      <c r="A645" s="1" t="s">
        <v>70</v>
      </c>
      <c r="B645" s="1" t="s">
        <v>5</v>
      </c>
      <c r="C645" s="1">
        <v>15</v>
      </c>
      <c r="D645" s="1">
        <v>16</v>
      </c>
      <c r="E645" s="3">
        <v>113.6</v>
      </c>
      <c r="F645" s="90">
        <v>7.1</v>
      </c>
    </row>
    <row r="646" spans="1:6" x14ac:dyDescent="0.3">
      <c r="A646" s="1" t="s">
        <v>70</v>
      </c>
      <c r="B646" s="1" t="s">
        <v>5</v>
      </c>
      <c r="C646" s="1">
        <v>16</v>
      </c>
      <c r="D646" s="1">
        <v>1</v>
      </c>
      <c r="E646" s="3">
        <v>17</v>
      </c>
      <c r="F646" s="90">
        <v>17</v>
      </c>
    </row>
    <row r="647" spans="1:6" x14ac:dyDescent="0.3">
      <c r="A647" s="1" t="s">
        <v>71</v>
      </c>
      <c r="B647" s="1" t="s">
        <v>184</v>
      </c>
      <c r="C647" s="1">
        <v>22</v>
      </c>
      <c r="D647" s="1">
        <v>1</v>
      </c>
      <c r="E647" s="3">
        <v>4</v>
      </c>
      <c r="F647" s="90">
        <v>4</v>
      </c>
    </row>
    <row r="648" spans="1:6" x14ac:dyDescent="0.3">
      <c r="A648" s="1" t="s">
        <v>71</v>
      </c>
      <c r="B648" s="1" t="s">
        <v>183</v>
      </c>
      <c r="C648" s="1">
        <v>31</v>
      </c>
      <c r="D648" s="1">
        <v>2</v>
      </c>
      <c r="E648" s="3">
        <v>16</v>
      </c>
      <c r="F648" s="90">
        <v>8</v>
      </c>
    </row>
    <row r="649" spans="1:6" x14ac:dyDescent="0.3">
      <c r="A649" s="1" t="s">
        <v>71</v>
      </c>
      <c r="B649" s="1" t="s">
        <v>5</v>
      </c>
      <c r="C649" s="1">
        <v>11</v>
      </c>
      <c r="D649" s="1">
        <v>9</v>
      </c>
      <c r="E649" s="3">
        <v>90</v>
      </c>
      <c r="F649" s="90">
        <v>10</v>
      </c>
    </row>
    <row r="650" spans="1:6" x14ac:dyDescent="0.3">
      <c r="A650" s="1" t="s">
        <v>71</v>
      </c>
      <c r="B650" s="1" t="s">
        <v>5</v>
      </c>
      <c r="C650" s="1">
        <v>12</v>
      </c>
      <c r="D650" s="1">
        <v>2</v>
      </c>
      <c r="E650" s="3">
        <v>26</v>
      </c>
      <c r="F650" s="90">
        <v>13</v>
      </c>
    </row>
    <row r="651" spans="1:6" x14ac:dyDescent="0.3">
      <c r="A651" s="1" t="s">
        <v>72</v>
      </c>
      <c r="B651" s="1" t="s">
        <v>184</v>
      </c>
      <c r="C651" s="1">
        <v>22</v>
      </c>
      <c r="D651" s="1">
        <v>281</v>
      </c>
      <c r="E651" s="3">
        <v>1124</v>
      </c>
      <c r="F651" s="90">
        <v>4</v>
      </c>
    </row>
    <row r="652" spans="1:6" x14ac:dyDescent="0.3">
      <c r="A652" s="1" t="s">
        <v>72</v>
      </c>
      <c r="B652" s="1" t="s">
        <v>184</v>
      </c>
      <c r="C652" s="1">
        <v>25</v>
      </c>
      <c r="D652" s="1">
        <v>8</v>
      </c>
      <c r="E652" s="3">
        <v>24</v>
      </c>
      <c r="F652" s="90">
        <v>3</v>
      </c>
    </row>
    <row r="653" spans="1:6" x14ac:dyDescent="0.3">
      <c r="A653" s="1" t="s">
        <v>72</v>
      </c>
      <c r="B653" s="1" t="s">
        <v>184</v>
      </c>
      <c r="C653" s="1">
        <v>26</v>
      </c>
      <c r="D653" s="1">
        <v>3</v>
      </c>
      <c r="E653" s="3">
        <v>29.8</v>
      </c>
      <c r="F653" s="90">
        <v>9.93333333333333</v>
      </c>
    </row>
    <row r="654" spans="1:6" x14ac:dyDescent="0.3">
      <c r="A654" s="1" t="s">
        <v>72</v>
      </c>
      <c r="B654" s="1" t="s">
        <v>183</v>
      </c>
      <c r="C654" s="1">
        <v>0</v>
      </c>
      <c r="D654" s="1">
        <v>3</v>
      </c>
      <c r="E654" s="3">
        <v>0</v>
      </c>
      <c r="F654" s="90">
        <v>0</v>
      </c>
    </row>
    <row r="655" spans="1:6" x14ac:dyDescent="0.3">
      <c r="A655" s="1" t="s">
        <v>72</v>
      </c>
      <c r="B655" s="1" t="s">
        <v>183</v>
      </c>
      <c r="C655" s="1">
        <v>30</v>
      </c>
      <c r="D655" s="1">
        <v>1</v>
      </c>
      <c r="E655" s="3">
        <v>0</v>
      </c>
      <c r="F655" s="90">
        <v>0</v>
      </c>
    </row>
    <row r="656" spans="1:6" x14ac:dyDescent="0.3">
      <c r="A656" s="1" t="s">
        <v>72</v>
      </c>
      <c r="B656" s="1" t="s">
        <v>183</v>
      </c>
      <c r="C656" s="1">
        <v>32</v>
      </c>
      <c r="D656" s="1">
        <v>433</v>
      </c>
      <c r="E656" s="3">
        <v>4330</v>
      </c>
      <c r="F656" s="90">
        <v>10</v>
      </c>
    </row>
    <row r="657" spans="1:6" x14ac:dyDescent="0.3">
      <c r="A657" s="1" t="s">
        <v>72</v>
      </c>
      <c r="B657" s="1" t="s">
        <v>183</v>
      </c>
      <c r="C657" s="1">
        <v>35</v>
      </c>
      <c r="D657" s="1">
        <v>5</v>
      </c>
      <c r="E657" s="3">
        <v>34</v>
      </c>
      <c r="F657" s="90">
        <v>6.8</v>
      </c>
    </row>
    <row r="658" spans="1:6" x14ac:dyDescent="0.3">
      <c r="A658" s="1" t="s">
        <v>72</v>
      </c>
      <c r="B658" s="1" t="s">
        <v>183</v>
      </c>
      <c r="C658" s="1">
        <v>36</v>
      </c>
      <c r="D658" s="1">
        <v>1</v>
      </c>
      <c r="E658" s="3">
        <v>13</v>
      </c>
      <c r="F658" s="90">
        <v>13</v>
      </c>
    </row>
    <row r="659" spans="1:6" x14ac:dyDescent="0.3">
      <c r="A659" s="1" t="s">
        <v>72</v>
      </c>
      <c r="B659" s="1" t="s">
        <v>159</v>
      </c>
      <c r="C659" s="1">
        <v>41</v>
      </c>
      <c r="D659" s="1">
        <v>2</v>
      </c>
      <c r="E659" s="3">
        <v>4</v>
      </c>
      <c r="F659" s="90">
        <v>2</v>
      </c>
    </row>
    <row r="660" spans="1:6" x14ac:dyDescent="0.3">
      <c r="A660" s="1" t="s">
        <v>72</v>
      </c>
      <c r="B660" s="1" t="s">
        <v>159</v>
      </c>
      <c r="C660" s="1">
        <v>42</v>
      </c>
      <c r="D660" s="1">
        <v>271</v>
      </c>
      <c r="E660" s="3">
        <v>542</v>
      </c>
      <c r="F660" s="90">
        <v>2</v>
      </c>
    </row>
    <row r="661" spans="1:6" x14ac:dyDescent="0.3">
      <c r="A661" s="1" t="s">
        <v>72</v>
      </c>
      <c r="B661" s="1" t="s">
        <v>5</v>
      </c>
      <c r="C661" s="1">
        <v>0</v>
      </c>
      <c r="D661" s="1">
        <v>7</v>
      </c>
      <c r="E661" s="3">
        <v>0</v>
      </c>
      <c r="F661" s="90">
        <v>0</v>
      </c>
    </row>
    <row r="662" spans="1:6" x14ac:dyDescent="0.3">
      <c r="A662" s="1" t="s">
        <v>72</v>
      </c>
      <c r="B662" s="1" t="s">
        <v>5</v>
      </c>
      <c r="C662" s="1">
        <v>10</v>
      </c>
      <c r="D662" s="1">
        <v>270</v>
      </c>
      <c r="E662" s="3">
        <v>0</v>
      </c>
      <c r="F662" s="90">
        <v>0</v>
      </c>
    </row>
    <row r="663" spans="1:6" x14ac:dyDescent="0.3">
      <c r="A663" s="1" t="s">
        <v>72</v>
      </c>
      <c r="B663" s="1" t="s">
        <v>5</v>
      </c>
      <c r="C663" s="1">
        <v>12</v>
      </c>
      <c r="D663" s="1">
        <v>2018</v>
      </c>
      <c r="E663" s="3">
        <v>26234</v>
      </c>
      <c r="F663" s="90">
        <v>13</v>
      </c>
    </row>
    <row r="664" spans="1:6" x14ac:dyDescent="0.3">
      <c r="A664" s="1" t="s">
        <v>72</v>
      </c>
      <c r="B664" s="1" t="s">
        <v>5</v>
      </c>
      <c r="C664" s="1">
        <v>15</v>
      </c>
      <c r="D664" s="1">
        <v>539</v>
      </c>
      <c r="E664" s="3">
        <v>5326.3000000000402</v>
      </c>
      <c r="F664" s="90">
        <v>9.8818181818182609</v>
      </c>
    </row>
    <row r="665" spans="1:6" x14ac:dyDescent="0.3">
      <c r="A665" s="1" t="s">
        <v>72</v>
      </c>
      <c r="B665" s="1" t="s">
        <v>5</v>
      </c>
      <c r="C665" s="1">
        <v>16</v>
      </c>
      <c r="D665" s="1">
        <v>17</v>
      </c>
      <c r="E665" s="3">
        <v>303.5</v>
      </c>
      <c r="F665" s="90">
        <v>17.852941176470601</v>
      </c>
    </row>
    <row r="666" spans="1:6" x14ac:dyDescent="0.3">
      <c r="A666" s="1" t="s">
        <v>73</v>
      </c>
      <c r="B666" s="1" t="s">
        <v>184</v>
      </c>
      <c r="C666" s="1">
        <v>21</v>
      </c>
      <c r="D666" s="1">
        <v>68</v>
      </c>
      <c r="E666" s="3">
        <v>272</v>
      </c>
      <c r="F666" s="90">
        <v>4</v>
      </c>
    </row>
    <row r="667" spans="1:6" x14ac:dyDescent="0.3">
      <c r="A667" s="1" t="s">
        <v>73</v>
      </c>
      <c r="B667" s="1" t="s">
        <v>183</v>
      </c>
      <c r="C667" s="1">
        <v>31</v>
      </c>
      <c r="D667" s="1">
        <v>76</v>
      </c>
      <c r="E667" s="3">
        <v>608</v>
      </c>
      <c r="F667" s="90">
        <v>8</v>
      </c>
    </row>
    <row r="668" spans="1:6" x14ac:dyDescent="0.3">
      <c r="A668" s="1" t="s">
        <v>73</v>
      </c>
      <c r="B668" s="1" t="s">
        <v>183</v>
      </c>
      <c r="C668" s="1">
        <v>33</v>
      </c>
      <c r="D668" s="1">
        <v>5</v>
      </c>
      <c r="E668" s="3">
        <v>28.7</v>
      </c>
      <c r="F668" s="90">
        <v>5.74</v>
      </c>
    </row>
    <row r="669" spans="1:6" x14ac:dyDescent="0.3">
      <c r="A669" s="1" t="s">
        <v>73</v>
      </c>
      <c r="B669" s="1" t="s">
        <v>159</v>
      </c>
      <c r="C669" s="1">
        <v>41</v>
      </c>
      <c r="D669" s="1">
        <v>3</v>
      </c>
      <c r="E669" s="3">
        <v>6</v>
      </c>
      <c r="F669" s="90">
        <v>2</v>
      </c>
    </row>
    <row r="670" spans="1:6" x14ac:dyDescent="0.3">
      <c r="A670" s="1" t="s">
        <v>73</v>
      </c>
      <c r="B670" s="1" t="s">
        <v>159</v>
      </c>
      <c r="C670" s="1">
        <v>42</v>
      </c>
      <c r="D670" s="1">
        <v>12</v>
      </c>
      <c r="E670" s="3">
        <v>24</v>
      </c>
      <c r="F670" s="90">
        <v>2</v>
      </c>
    </row>
    <row r="671" spans="1:6" x14ac:dyDescent="0.3">
      <c r="A671" s="1" t="s">
        <v>73</v>
      </c>
      <c r="B671" s="1" t="s">
        <v>5</v>
      </c>
      <c r="C671" s="1">
        <v>0</v>
      </c>
      <c r="D671" s="1">
        <v>4</v>
      </c>
      <c r="E671" s="3">
        <v>0</v>
      </c>
      <c r="F671" s="90">
        <v>0</v>
      </c>
    </row>
    <row r="672" spans="1:6" x14ac:dyDescent="0.3">
      <c r="A672" s="1" t="s">
        <v>73</v>
      </c>
      <c r="B672" s="1" t="s">
        <v>5</v>
      </c>
      <c r="C672" s="1">
        <v>10</v>
      </c>
      <c r="D672" s="1">
        <v>6</v>
      </c>
      <c r="E672" s="3">
        <v>0</v>
      </c>
      <c r="F672" s="90">
        <v>0</v>
      </c>
    </row>
    <row r="673" spans="1:6" x14ac:dyDescent="0.3">
      <c r="A673" s="1" t="s">
        <v>73</v>
      </c>
      <c r="B673" s="1" t="s">
        <v>5</v>
      </c>
      <c r="C673" s="1">
        <v>11</v>
      </c>
      <c r="D673" s="1">
        <v>364</v>
      </c>
      <c r="E673" s="3">
        <v>2548</v>
      </c>
      <c r="F673" s="90">
        <v>7</v>
      </c>
    </row>
    <row r="674" spans="1:6" x14ac:dyDescent="0.3">
      <c r="A674" s="1" t="s">
        <v>73</v>
      </c>
      <c r="B674" s="1" t="s">
        <v>5</v>
      </c>
      <c r="C674" s="1">
        <v>13</v>
      </c>
      <c r="D674" s="1">
        <v>472</v>
      </c>
      <c r="E674" s="3">
        <v>2488.6999999999998</v>
      </c>
      <c r="F674" s="90">
        <v>5.2726694915254297</v>
      </c>
    </row>
    <row r="675" spans="1:6" x14ac:dyDescent="0.3">
      <c r="A675" s="1" t="s">
        <v>73</v>
      </c>
      <c r="B675" s="1" t="s">
        <v>5</v>
      </c>
      <c r="C675" s="1">
        <v>14</v>
      </c>
      <c r="D675" s="1">
        <v>234</v>
      </c>
      <c r="E675" s="3">
        <v>1838.4</v>
      </c>
      <c r="F675" s="90">
        <v>7.8564102564102596</v>
      </c>
    </row>
    <row r="676" spans="1:6" x14ac:dyDescent="0.3">
      <c r="A676" s="1" t="s">
        <v>74</v>
      </c>
      <c r="B676" s="1" t="s">
        <v>184</v>
      </c>
      <c r="C676" s="1">
        <v>21</v>
      </c>
      <c r="D676" s="1">
        <v>1</v>
      </c>
      <c r="E676" s="3">
        <v>4</v>
      </c>
      <c r="F676" s="90">
        <v>4</v>
      </c>
    </row>
    <row r="677" spans="1:6" x14ac:dyDescent="0.3">
      <c r="A677" s="1" t="s">
        <v>74</v>
      </c>
      <c r="B677" s="1" t="s">
        <v>183</v>
      </c>
      <c r="C677" s="1">
        <v>31</v>
      </c>
      <c r="D677" s="1">
        <v>1</v>
      </c>
      <c r="E677" s="3">
        <v>8</v>
      </c>
      <c r="F677" s="90">
        <v>8</v>
      </c>
    </row>
    <row r="678" spans="1:6" x14ac:dyDescent="0.3">
      <c r="A678" s="1" t="s">
        <v>74</v>
      </c>
      <c r="B678" s="1" t="s">
        <v>159</v>
      </c>
      <c r="C678" s="1">
        <v>42</v>
      </c>
      <c r="D678" s="1">
        <v>1</v>
      </c>
      <c r="E678" s="3">
        <v>2</v>
      </c>
      <c r="F678" s="90">
        <v>2</v>
      </c>
    </row>
    <row r="679" spans="1:6" x14ac:dyDescent="0.3">
      <c r="A679" s="1" t="s">
        <v>74</v>
      </c>
      <c r="B679" s="1" t="s">
        <v>5</v>
      </c>
      <c r="C679" s="1">
        <v>11</v>
      </c>
      <c r="D679" s="1">
        <v>11</v>
      </c>
      <c r="E679" s="3">
        <v>77</v>
      </c>
      <c r="F679" s="90">
        <v>7</v>
      </c>
    </row>
    <row r="680" spans="1:6" x14ac:dyDescent="0.3">
      <c r="A680" s="1" t="s">
        <v>74</v>
      </c>
      <c r="B680" s="1" t="s">
        <v>5</v>
      </c>
      <c r="C680" s="1">
        <v>13</v>
      </c>
      <c r="D680" s="1">
        <v>2</v>
      </c>
      <c r="E680" s="3">
        <v>10.6</v>
      </c>
      <c r="F680" s="90">
        <v>5.3</v>
      </c>
    </row>
    <row r="681" spans="1:6" x14ac:dyDescent="0.3">
      <c r="A681" s="1" t="s">
        <v>74</v>
      </c>
      <c r="B681" s="1" t="s">
        <v>5</v>
      </c>
      <c r="C681" s="1">
        <v>14</v>
      </c>
      <c r="D681" s="1">
        <v>4</v>
      </c>
      <c r="E681" s="3">
        <v>30</v>
      </c>
      <c r="F681" s="90">
        <v>7.5</v>
      </c>
    </row>
    <row r="682" spans="1:6" x14ac:dyDescent="0.3">
      <c r="A682" s="1" t="s">
        <v>75</v>
      </c>
      <c r="B682" s="1" t="s">
        <v>184</v>
      </c>
      <c r="C682" s="1">
        <v>0</v>
      </c>
      <c r="D682" s="1">
        <v>20</v>
      </c>
      <c r="E682" s="3">
        <v>0</v>
      </c>
      <c r="F682" s="90">
        <v>0</v>
      </c>
    </row>
    <row r="683" spans="1:6" x14ac:dyDescent="0.3">
      <c r="A683" s="1" t="s">
        <v>75</v>
      </c>
      <c r="B683" s="1" t="s">
        <v>184</v>
      </c>
      <c r="C683" s="1">
        <v>21</v>
      </c>
      <c r="D683" s="1">
        <v>647</v>
      </c>
      <c r="E683" s="3">
        <v>2588</v>
      </c>
      <c r="F683" s="90">
        <v>4</v>
      </c>
    </row>
    <row r="684" spans="1:6" x14ac:dyDescent="0.3">
      <c r="A684" s="1" t="s">
        <v>75</v>
      </c>
      <c r="B684" s="1" t="s">
        <v>184</v>
      </c>
      <c r="C684" s="1">
        <v>22</v>
      </c>
      <c r="D684" s="1">
        <v>272</v>
      </c>
      <c r="E684" s="3">
        <v>1088</v>
      </c>
      <c r="F684" s="90">
        <v>4</v>
      </c>
    </row>
    <row r="685" spans="1:6" x14ac:dyDescent="0.3">
      <c r="A685" s="1" t="s">
        <v>75</v>
      </c>
      <c r="B685" s="1" t="s">
        <v>184</v>
      </c>
      <c r="C685" s="1">
        <v>23</v>
      </c>
      <c r="D685" s="1">
        <v>1</v>
      </c>
      <c r="E685" s="3">
        <v>2</v>
      </c>
      <c r="F685" s="90">
        <v>2</v>
      </c>
    </row>
    <row r="686" spans="1:6" x14ac:dyDescent="0.3">
      <c r="A686" s="1" t="s">
        <v>75</v>
      </c>
      <c r="B686" s="1" t="s">
        <v>184</v>
      </c>
      <c r="C686" s="1">
        <v>24</v>
      </c>
      <c r="D686" s="1">
        <v>1</v>
      </c>
      <c r="E686" s="3">
        <v>8</v>
      </c>
      <c r="F686" s="90">
        <v>8</v>
      </c>
    </row>
    <row r="687" spans="1:6" x14ac:dyDescent="0.3">
      <c r="A687" s="1" t="s">
        <v>75</v>
      </c>
      <c r="B687" s="1" t="s">
        <v>184</v>
      </c>
      <c r="C687" s="1">
        <v>26</v>
      </c>
      <c r="D687" s="1">
        <v>3</v>
      </c>
      <c r="E687" s="3">
        <v>30</v>
      </c>
      <c r="F687" s="90">
        <v>10</v>
      </c>
    </row>
    <row r="688" spans="1:6" x14ac:dyDescent="0.3">
      <c r="A688" s="1" t="s">
        <v>75</v>
      </c>
      <c r="B688" s="1" t="s">
        <v>183</v>
      </c>
      <c r="C688" s="1">
        <v>0</v>
      </c>
      <c r="D688" s="1">
        <v>20</v>
      </c>
      <c r="E688" s="3">
        <v>0</v>
      </c>
      <c r="F688" s="90">
        <v>0</v>
      </c>
    </row>
    <row r="689" spans="1:6" x14ac:dyDescent="0.3">
      <c r="A689" s="1" t="s">
        <v>75</v>
      </c>
      <c r="B689" s="1" t="s">
        <v>183</v>
      </c>
      <c r="C689" s="1">
        <v>31</v>
      </c>
      <c r="D689" s="1">
        <v>971</v>
      </c>
      <c r="E689" s="3">
        <v>7768</v>
      </c>
      <c r="F689" s="90">
        <v>8</v>
      </c>
    </row>
    <row r="690" spans="1:6" x14ac:dyDescent="0.3">
      <c r="A690" s="1" t="s">
        <v>75</v>
      </c>
      <c r="B690" s="1" t="s">
        <v>183</v>
      </c>
      <c r="C690" s="1">
        <v>32</v>
      </c>
      <c r="D690" s="1">
        <v>472</v>
      </c>
      <c r="E690" s="3">
        <v>4720</v>
      </c>
      <c r="F690" s="90">
        <v>10</v>
      </c>
    </row>
    <row r="691" spans="1:6" x14ac:dyDescent="0.3">
      <c r="A691" s="1" t="s">
        <v>75</v>
      </c>
      <c r="B691" s="1" t="s">
        <v>183</v>
      </c>
      <c r="C691" s="1">
        <v>33</v>
      </c>
      <c r="D691" s="1">
        <v>3</v>
      </c>
      <c r="E691" s="3">
        <v>18</v>
      </c>
      <c r="F691" s="90">
        <v>6</v>
      </c>
    </row>
    <row r="692" spans="1:6" x14ac:dyDescent="0.3">
      <c r="A692" s="1" t="s">
        <v>75</v>
      </c>
      <c r="B692" s="1" t="s">
        <v>183</v>
      </c>
      <c r="C692" s="1">
        <v>35</v>
      </c>
      <c r="D692" s="1">
        <v>5</v>
      </c>
      <c r="E692" s="3">
        <v>29.6</v>
      </c>
      <c r="F692" s="90">
        <v>5.92</v>
      </c>
    </row>
    <row r="693" spans="1:6" x14ac:dyDescent="0.3">
      <c r="A693" s="1" t="s">
        <v>75</v>
      </c>
      <c r="B693" s="1" t="s">
        <v>159</v>
      </c>
      <c r="C693" s="1">
        <v>41</v>
      </c>
      <c r="D693" s="1">
        <v>11</v>
      </c>
      <c r="E693" s="3">
        <v>22</v>
      </c>
      <c r="F693" s="90">
        <v>2</v>
      </c>
    </row>
    <row r="694" spans="1:6" x14ac:dyDescent="0.3">
      <c r="A694" s="1" t="s">
        <v>75</v>
      </c>
      <c r="B694" s="1" t="s">
        <v>159</v>
      </c>
      <c r="C694" s="1">
        <v>42</v>
      </c>
      <c r="D694" s="1">
        <v>229</v>
      </c>
      <c r="E694" s="3">
        <v>458</v>
      </c>
      <c r="F694" s="90">
        <v>2</v>
      </c>
    </row>
    <row r="695" spans="1:6" x14ac:dyDescent="0.3">
      <c r="A695" s="1" t="s">
        <v>75</v>
      </c>
      <c r="B695" s="1" t="s">
        <v>5</v>
      </c>
      <c r="C695" s="1">
        <v>0</v>
      </c>
      <c r="D695" s="1">
        <v>91</v>
      </c>
      <c r="E695" s="3">
        <v>0</v>
      </c>
      <c r="F695" s="90">
        <v>0</v>
      </c>
    </row>
    <row r="696" spans="1:6" x14ac:dyDescent="0.3">
      <c r="A696" s="1" t="s">
        <v>75</v>
      </c>
      <c r="B696" s="1" t="s">
        <v>5</v>
      </c>
      <c r="C696" s="1">
        <v>11</v>
      </c>
      <c r="D696" s="1">
        <v>4005</v>
      </c>
      <c r="E696" s="3">
        <v>28035</v>
      </c>
      <c r="F696" s="90">
        <v>7</v>
      </c>
    </row>
    <row r="697" spans="1:6" x14ac:dyDescent="0.3">
      <c r="A697" s="1" t="s">
        <v>75</v>
      </c>
      <c r="B697" s="1" t="s">
        <v>5</v>
      </c>
      <c r="C697" s="1">
        <v>12</v>
      </c>
      <c r="D697" s="1">
        <v>1515</v>
      </c>
      <c r="E697" s="3">
        <v>19695</v>
      </c>
      <c r="F697" s="90">
        <v>13</v>
      </c>
    </row>
    <row r="698" spans="1:6" x14ac:dyDescent="0.3">
      <c r="A698" s="1" t="s">
        <v>75</v>
      </c>
      <c r="B698" s="1" t="s">
        <v>5</v>
      </c>
      <c r="C698" s="1">
        <v>13</v>
      </c>
      <c r="D698" s="1">
        <v>83</v>
      </c>
      <c r="E698" s="3">
        <v>400.9</v>
      </c>
      <c r="F698" s="90">
        <v>4.8301204819277199</v>
      </c>
    </row>
    <row r="699" spans="1:6" x14ac:dyDescent="0.3">
      <c r="A699" s="1" t="s">
        <v>75</v>
      </c>
      <c r="B699" s="1" t="s">
        <v>5</v>
      </c>
      <c r="C699" s="1">
        <v>14</v>
      </c>
      <c r="D699" s="1">
        <v>36</v>
      </c>
      <c r="E699" s="3">
        <v>457.2</v>
      </c>
      <c r="F699" s="90">
        <v>12.7</v>
      </c>
    </row>
    <row r="700" spans="1:6" x14ac:dyDescent="0.3">
      <c r="A700" s="1" t="s">
        <v>75</v>
      </c>
      <c r="B700" s="1" t="s">
        <v>5</v>
      </c>
      <c r="C700" s="1">
        <v>15</v>
      </c>
      <c r="D700" s="1">
        <v>65</v>
      </c>
      <c r="E700" s="3">
        <v>448</v>
      </c>
      <c r="F700" s="90">
        <v>6.8923076923076998</v>
      </c>
    </row>
    <row r="701" spans="1:6" x14ac:dyDescent="0.3">
      <c r="A701" s="1" t="s">
        <v>75</v>
      </c>
      <c r="B701" s="1" t="s">
        <v>5</v>
      </c>
      <c r="C701" s="1">
        <v>16</v>
      </c>
      <c r="D701" s="1">
        <v>2</v>
      </c>
      <c r="E701" s="3">
        <v>43.5</v>
      </c>
      <c r="F701" s="90">
        <v>21.75</v>
      </c>
    </row>
    <row r="702" spans="1:6" x14ac:dyDescent="0.3">
      <c r="A702" s="1" t="s">
        <v>76</v>
      </c>
      <c r="B702" s="1" t="s">
        <v>184</v>
      </c>
      <c r="C702" s="1">
        <v>0</v>
      </c>
      <c r="D702" s="1">
        <v>19</v>
      </c>
      <c r="E702" s="3">
        <v>0</v>
      </c>
      <c r="F702" s="90">
        <v>0</v>
      </c>
    </row>
    <row r="703" spans="1:6" x14ac:dyDescent="0.3">
      <c r="A703" s="1" t="s">
        <v>76</v>
      </c>
      <c r="B703" s="1" t="s">
        <v>184</v>
      </c>
      <c r="C703" s="1">
        <v>21</v>
      </c>
      <c r="D703" s="1">
        <v>283</v>
      </c>
      <c r="E703" s="3">
        <v>1132</v>
      </c>
      <c r="F703" s="90">
        <v>4</v>
      </c>
    </row>
    <row r="704" spans="1:6" x14ac:dyDescent="0.3">
      <c r="A704" s="1" t="s">
        <v>76</v>
      </c>
      <c r="B704" s="1" t="s">
        <v>184</v>
      </c>
      <c r="C704" s="1">
        <v>22</v>
      </c>
      <c r="D704" s="1">
        <v>115</v>
      </c>
      <c r="E704" s="3">
        <v>460</v>
      </c>
      <c r="F704" s="90">
        <v>4</v>
      </c>
    </row>
    <row r="705" spans="1:6" x14ac:dyDescent="0.3">
      <c r="A705" s="1" t="s">
        <v>76</v>
      </c>
      <c r="B705" s="1" t="s">
        <v>184</v>
      </c>
      <c r="C705" s="1">
        <v>24</v>
      </c>
      <c r="D705" s="1">
        <v>1</v>
      </c>
      <c r="E705" s="3">
        <v>7</v>
      </c>
      <c r="F705" s="90">
        <v>7</v>
      </c>
    </row>
    <row r="706" spans="1:6" x14ac:dyDescent="0.3">
      <c r="A706" s="1" t="s">
        <v>76</v>
      </c>
      <c r="B706" s="1" t="s">
        <v>184</v>
      </c>
      <c r="C706" s="1">
        <v>26</v>
      </c>
      <c r="D706" s="1">
        <v>1</v>
      </c>
      <c r="E706" s="3">
        <v>10</v>
      </c>
      <c r="F706" s="90">
        <v>10</v>
      </c>
    </row>
    <row r="707" spans="1:6" x14ac:dyDescent="0.3">
      <c r="A707" s="1" t="s">
        <v>76</v>
      </c>
      <c r="B707" s="1" t="s">
        <v>183</v>
      </c>
      <c r="C707" s="1">
        <v>0</v>
      </c>
      <c r="D707" s="1">
        <v>11</v>
      </c>
      <c r="E707" s="3">
        <v>0</v>
      </c>
      <c r="F707" s="90">
        <v>0</v>
      </c>
    </row>
    <row r="708" spans="1:6" x14ac:dyDescent="0.3">
      <c r="A708" s="1" t="s">
        <v>76</v>
      </c>
      <c r="B708" s="1" t="s">
        <v>183</v>
      </c>
      <c r="C708" s="1">
        <v>31</v>
      </c>
      <c r="D708" s="1">
        <v>351</v>
      </c>
      <c r="E708" s="3">
        <v>2808</v>
      </c>
      <c r="F708" s="90">
        <v>8</v>
      </c>
    </row>
    <row r="709" spans="1:6" x14ac:dyDescent="0.3">
      <c r="A709" s="1" t="s">
        <v>76</v>
      </c>
      <c r="B709" s="1" t="s">
        <v>183</v>
      </c>
      <c r="C709" s="1">
        <v>32</v>
      </c>
      <c r="D709" s="1">
        <v>231</v>
      </c>
      <c r="E709" s="3">
        <v>2310</v>
      </c>
      <c r="F709" s="90">
        <v>10</v>
      </c>
    </row>
    <row r="710" spans="1:6" x14ac:dyDescent="0.3">
      <c r="A710" s="1" t="s">
        <v>76</v>
      </c>
      <c r="B710" s="1" t="s">
        <v>183</v>
      </c>
      <c r="C710" s="1">
        <v>33</v>
      </c>
      <c r="D710" s="1">
        <v>1</v>
      </c>
      <c r="E710" s="3">
        <v>4</v>
      </c>
      <c r="F710" s="90">
        <v>4</v>
      </c>
    </row>
    <row r="711" spans="1:6" x14ac:dyDescent="0.3">
      <c r="A711" s="1" t="s">
        <v>76</v>
      </c>
      <c r="B711" s="1" t="s">
        <v>183</v>
      </c>
      <c r="C711" s="1">
        <v>35</v>
      </c>
      <c r="D711" s="1">
        <v>1</v>
      </c>
      <c r="E711" s="3">
        <v>4</v>
      </c>
      <c r="F711" s="90">
        <v>4</v>
      </c>
    </row>
    <row r="712" spans="1:6" x14ac:dyDescent="0.3">
      <c r="A712" s="1" t="s">
        <v>76</v>
      </c>
      <c r="B712" s="1" t="s">
        <v>183</v>
      </c>
      <c r="C712" s="1">
        <v>36</v>
      </c>
      <c r="D712" s="1">
        <v>2</v>
      </c>
      <c r="E712" s="3">
        <v>22</v>
      </c>
      <c r="F712" s="90">
        <v>11</v>
      </c>
    </row>
    <row r="713" spans="1:6" x14ac:dyDescent="0.3">
      <c r="A713" s="1" t="s">
        <v>76</v>
      </c>
      <c r="B713" s="1" t="s">
        <v>159</v>
      </c>
      <c r="C713" s="1">
        <v>41</v>
      </c>
      <c r="D713" s="1">
        <v>9</v>
      </c>
      <c r="E713" s="3">
        <v>18</v>
      </c>
      <c r="F713" s="90">
        <v>2</v>
      </c>
    </row>
    <row r="714" spans="1:6" x14ac:dyDescent="0.3">
      <c r="A714" s="1" t="s">
        <v>76</v>
      </c>
      <c r="B714" s="1" t="s">
        <v>159</v>
      </c>
      <c r="C714" s="1">
        <v>42</v>
      </c>
      <c r="D714" s="1">
        <v>93</v>
      </c>
      <c r="E714" s="3">
        <v>186</v>
      </c>
      <c r="F714" s="90">
        <v>2</v>
      </c>
    </row>
    <row r="715" spans="1:6" x14ac:dyDescent="0.3">
      <c r="A715" s="1" t="s">
        <v>76</v>
      </c>
      <c r="B715" s="1" t="s">
        <v>5</v>
      </c>
      <c r="C715" s="1">
        <v>0</v>
      </c>
      <c r="D715" s="1">
        <v>189</v>
      </c>
      <c r="E715" s="3">
        <v>0</v>
      </c>
      <c r="F715" s="90">
        <v>0</v>
      </c>
    </row>
    <row r="716" spans="1:6" x14ac:dyDescent="0.3">
      <c r="A716" s="1" t="s">
        <v>76</v>
      </c>
      <c r="B716" s="1" t="s">
        <v>5</v>
      </c>
      <c r="C716" s="1">
        <v>11</v>
      </c>
      <c r="D716" s="1">
        <v>2590</v>
      </c>
      <c r="E716" s="3">
        <v>18130</v>
      </c>
      <c r="F716" s="90">
        <v>7</v>
      </c>
    </row>
    <row r="717" spans="1:6" x14ac:dyDescent="0.3">
      <c r="A717" s="1" t="s">
        <v>76</v>
      </c>
      <c r="B717" s="1" t="s">
        <v>5</v>
      </c>
      <c r="C717" s="1">
        <v>12</v>
      </c>
      <c r="D717" s="1">
        <v>1172</v>
      </c>
      <c r="E717" s="3">
        <v>12892</v>
      </c>
      <c r="F717" s="90">
        <v>11</v>
      </c>
    </row>
    <row r="718" spans="1:6" x14ac:dyDescent="0.3">
      <c r="A718" s="1" t="s">
        <v>76</v>
      </c>
      <c r="B718" s="1" t="s">
        <v>5</v>
      </c>
      <c r="C718" s="1">
        <v>13</v>
      </c>
      <c r="D718" s="1">
        <v>32</v>
      </c>
      <c r="E718" s="3">
        <v>152.4</v>
      </c>
      <c r="F718" s="90">
        <v>4.7625000000000002</v>
      </c>
    </row>
    <row r="719" spans="1:6" x14ac:dyDescent="0.3">
      <c r="A719" s="1" t="s">
        <v>76</v>
      </c>
      <c r="B719" s="1" t="s">
        <v>5</v>
      </c>
      <c r="C719" s="1">
        <v>14</v>
      </c>
      <c r="D719" s="1">
        <v>39</v>
      </c>
      <c r="E719" s="3">
        <v>539.4</v>
      </c>
      <c r="F719" s="90">
        <v>13.830769230769199</v>
      </c>
    </row>
    <row r="720" spans="1:6" x14ac:dyDescent="0.3">
      <c r="A720" s="1" t="s">
        <v>76</v>
      </c>
      <c r="B720" s="1" t="s">
        <v>5</v>
      </c>
      <c r="C720" s="1">
        <v>15</v>
      </c>
      <c r="D720" s="1">
        <v>46</v>
      </c>
      <c r="E720" s="3">
        <v>327.7</v>
      </c>
      <c r="F720" s="90">
        <v>7.12391304347826</v>
      </c>
    </row>
    <row r="721" spans="1:6" x14ac:dyDescent="0.3">
      <c r="A721" s="1" t="s">
        <v>76</v>
      </c>
      <c r="B721" s="1" t="s">
        <v>5</v>
      </c>
      <c r="C721" s="1">
        <v>16</v>
      </c>
      <c r="D721" s="1">
        <v>5</v>
      </c>
      <c r="E721" s="3">
        <v>106.5</v>
      </c>
      <c r="F721" s="90">
        <v>21.3</v>
      </c>
    </row>
    <row r="722" spans="1:6" x14ac:dyDescent="0.3">
      <c r="A722" s="1" t="s">
        <v>77</v>
      </c>
      <c r="B722" s="1" t="s">
        <v>184</v>
      </c>
      <c r="C722" s="1">
        <v>0</v>
      </c>
      <c r="D722" s="1">
        <v>26</v>
      </c>
      <c r="E722" s="3">
        <v>0</v>
      </c>
      <c r="F722" s="90">
        <v>0</v>
      </c>
    </row>
    <row r="723" spans="1:6" x14ac:dyDescent="0.3">
      <c r="A723" s="1" t="s">
        <v>77</v>
      </c>
      <c r="B723" s="1" t="s">
        <v>184</v>
      </c>
      <c r="C723" s="1">
        <v>21</v>
      </c>
      <c r="D723" s="1">
        <v>752</v>
      </c>
      <c r="E723" s="3">
        <v>3008</v>
      </c>
      <c r="F723" s="90">
        <v>4</v>
      </c>
    </row>
    <row r="724" spans="1:6" x14ac:dyDescent="0.3">
      <c r="A724" s="1" t="s">
        <v>77</v>
      </c>
      <c r="B724" s="1" t="s">
        <v>184</v>
      </c>
      <c r="C724" s="1">
        <v>22</v>
      </c>
      <c r="D724" s="1">
        <v>276</v>
      </c>
      <c r="E724" s="3">
        <v>1104</v>
      </c>
      <c r="F724" s="90">
        <v>4</v>
      </c>
    </row>
    <row r="725" spans="1:6" x14ac:dyDescent="0.3">
      <c r="A725" s="1" t="s">
        <v>77</v>
      </c>
      <c r="B725" s="1" t="s">
        <v>184</v>
      </c>
      <c r="C725" s="1">
        <v>24</v>
      </c>
      <c r="D725" s="1">
        <v>2</v>
      </c>
      <c r="E725" s="3">
        <v>15</v>
      </c>
      <c r="F725" s="90">
        <v>7.5</v>
      </c>
    </row>
    <row r="726" spans="1:6" x14ac:dyDescent="0.3">
      <c r="A726" s="1" t="s">
        <v>77</v>
      </c>
      <c r="B726" s="1" t="s">
        <v>184</v>
      </c>
      <c r="C726" s="1">
        <v>26</v>
      </c>
      <c r="D726" s="1">
        <v>2</v>
      </c>
      <c r="E726" s="3">
        <v>20</v>
      </c>
      <c r="F726" s="90">
        <v>10</v>
      </c>
    </row>
    <row r="727" spans="1:6" x14ac:dyDescent="0.3">
      <c r="A727" s="1" t="s">
        <v>77</v>
      </c>
      <c r="B727" s="1" t="s">
        <v>183</v>
      </c>
      <c r="C727" s="1">
        <v>0</v>
      </c>
      <c r="D727" s="1">
        <v>19</v>
      </c>
      <c r="E727" s="3">
        <v>0</v>
      </c>
      <c r="F727" s="90">
        <v>0</v>
      </c>
    </row>
    <row r="728" spans="1:6" x14ac:dyDescent="0.3">
      <c r="A728" s="1" t="s">
        <v>77</v>
      </c>
      <c r="B728" s="1" t="s">
        <v>183</v>
      </c>
      <c r="C728" s="1">
        <v>31</v>
      </c>
      <c r="D728" s="1">
        <v>1183</v>
      </c>
      <c r="E728" s="3">
        <v>9464</v>
      </c>
      <c r="F728" s="90">
        <v>8</v>
      </c>
    </row>
    <row r="729" spans="1:6" x14ac:dyDescent="0.3">
      <c r="A729" s="1" t="s">
        <v>77</v>
      </c>
      <c r="B729" s="1" t="s">
        <v>183</v>
      </c>
      <c r="C729" s="1">
        <v>32</v>
      </c>
      <c r="D729" s="1">
        <v>549</v>
      </c>
      <c r="E729" s="3">
        <v>5490</v>
      </c>
      <c r="F729" s="90">
        <v>10</v>
      </c>
    </row>
    <row r="730" spans="1:6" x14ac:dyDescent="0.3">
      <c r="A730" s="1" t="s">
        <v>77</v>
      </c>
      <c r="B730" s="1" t="s">
        <v>183</v>
      </c>
      <c r="C730" s="1">
        <v>33</v>
      </c>
      <c r="D730" s="1">
        <v>4</v>
      </c>
      <c r="E730" s="3">
        <v>16</v>
      </c>
      <c r="F730" s="90">
        <v>4</v>
      </c>
    </row>
    <row r="731" spans="1:6" x14ac:dyDescent="0.3">
      <c r="A731" s="1" t="s">
        <v>77</v>
      </c>
      <c r="B731" s="1" t="s">
        <v>183</v>
      </c>
      <c r="C731" s="1">
        <v>34</v>
      </c>
      <c r="D731" s="1">
        <v>2</v>
      </c>
      <c r="E731" s="3">
        <v>20</v>
      </c>
      <c r="F731" s="90">
        <v>10</v>
      </c>
    </row>
    <row r="732" spans="1:6" x14ac:dyDescent="0.3">
      <c r="A732" s="1" t="s">
        <v>77</v>
      </c>
      <c r="B732" s="1" t="s">
        <v>183</v>
      </c>
      <c r="C732" s="1">
        <v>35</v>
      </c>
      <c r="D732" s="1">
        <v>1</v>
      </c>
      <c r="E732" s="3">
        <v>2</v>
      </c>
      <c r="F732" s="90">
        <v>2</v>
      </c>
    </row>
    <row r="733" spans="1:6" x14ac:dyDescent="0.3">
      <c r="A733" s="1" t="s">
        <v>77</v>
      </c>
      <c r="B733" s="1" t="s">
        <v>183</v>
      </c>
      <c r="C733" s="1">
        <v>36</v>
      </c>
      <c r="D733" s="1">
        <v>3</v>
      </c>
      <c r="E733" s="3">
        <v>36</v>
      </c>
      <c r="F733" s="90">
        <v>12</v>
      </c>
    </row>
    <row r="734" spans="1:6" x14ac:dyDescent="0.3">
      <c r="A734" s="1" t="s">
        <v>77</v>
      </c>
      <c r="B734" s="1" t="s">
        <v>159</v>
      </c>
      <c r="C734" s="1">
        <v>41</v>
      </c>
      <c r="D734" s="1">
        <v>15</v>
      </c>
      <c r="E734" s="3">
        <v>30</v>
      </c>
      <c r="F734" s="90">
        <v>2</v>
      </c>
    </row>
    <row r="735" spans="1:6" x14ac:dyDescent="0.3">
      <c r="A735" s="1" t="s">
        <v>77</v>
      </c>
      <c r="B735" s="1" t="s">
        <v>159</v>
      </c>
      <c r="C735" s="1">
        <v>42</v>
      </c>
      <c r="D735" s="1">
        <v>176</v>
      </c>
      <c r="E735" s="3">
        <v>352</v>
      </c>
      <c r="F735" s="90">
        <v>2</v>
      </c>
    </row>
    <row r="736" spans="1:6" x14ac:dyDescent="0.3">
      <c r="A736" s="1" t="s">
        <v>77</v>
      </c>
      <c r="B736" s="1" t="s">
        <v>5</v>
      </c>
      <c r="C736" s="1">
        <v>0</v>
      </c>
      <c r="D736" s="1">
        <v>210</v>
      </c>
      <c r="E736" s="3">
        <v>0</v>
      </c>
      <c r="F736" s="90">
        <v>0</v>
      </c>
    </row>
    <row r="737" spans="1:6" x14ac:dyDescent="0.3">
      <c r="A737" s="1" t="s">
        <v>77</v>
      </c>
      <c r="B737" s="1" t="s">
        <v>5</v>
      </c>
      <c r="C737" s="1">
        <v>11</v>
      </c>
      <c r="D737" s="1">
        <v>4070</v>
      </c>
      <c r="E737" s="3">
        <v>28490</v>
      </c>
      <c r="F737" s="90">
        <v>7</v>
      </c>
    </row>
    <row r="738" spans="1:6" x14ac:dyDescent="0.3">
      <c r="A738" s="1" t="s">
        <v>77</v>
      </c>
      <c r="B738" s="1" t="s">
        <v>5</v>
      </c>
      <c r="C738" s="1">
        <v>12</v>
      </c>
      <c r="D738" s="1">
        <v>1930</v>
      </c>
      <c r="E738" s="3">
        <v>23160</v>
      </c>
      <c r="F738" s="90">
        <v>12</v>
      </c>
    </row>
    <row r="739" spans="1:6" x14ac:dyDescent="0.3">
      <c r="A739" s="1" t="s">
        <v>77</v>
      </c>
      <c r="B739" s="1" t="s">
        <v>5</v>
      </c>
      <c r="C739" s="1">
        <v>13</v>
      </c>
      <c r="D739" s="1">
        <v>9</v>
      </c>
      <c r="E739" s="3">
        <v>33.1</v>
      </c>
      <c r="F739" s="90">
        <v>3.6777777777777798</v>
      </c>
    </row>
    <row r="740" spans="1:6" x14ac:dyDescent="0.3">
      <c r="A740" s="1" t="s">
        <v>77</v>
      </c>
      <c r="B740" s="1" t="s">
        <v>5</v>
      </c>
      <c r="C740" s="1">
        <v>14</v>
      </c>
      <c r="D740" s="1">
        <v>42</v>
      </c>
      <c r="E740" s="3">
        <v>620.29999999999995</v>
      </c>
      <c r="F740" s="90">
        <v>14.769047619047599</v>
      </c>
    </row>
    <row r="741" spans="1:6" x14ac:dyDescent="0.3">
      <c r="A741" s="1" t="s">
        <v>77</v>
      </c>
      <c r="B741" s="1" t="s">
        <v>5</v>
      </c>
      <c r="C741" s="1">
        <v>15</v>
      </c>
      <c r="D741" s="1">
        <v>27</v>
      </c>
      <c r="E741" s="3">
        <v>195</v>
      </c>
      <c r="F741" s="90">
        <v>7.2222222222222197</v>
      </c>
    </row>
    <row r="742" spans="1:6" x14ac:dyDescent="0.3">
      <c r="A742" s="1" t="s">
        <v>77</v>
      </c>
      <c r="B742" s="1" t="s">
        <v>5</v>
      </c>
      <c r="C742" s="1">
        <v>16</v>
      </c>
      <c r="D742" s="1">
        <v>4</v>
      </c>
      <c r="E742" s="3">
        <v>78</v>
      </c>
      <c r="F742" s="90">
        <v>19.5</v>
      </c>
    </row>
    <row r="743" spans="1:6" x14ac:dyDescent="0.3">
      <c r="A743" s="1" t="s">
        <v>78</v>
      </c>
      <c r="B743" s="1" t="s">
        <v>184</v>
      </c>
      <c r="C743" s="1">
        <v>21</v>
      </c>
      <c r="D743" s="1">
        <v>12</v>
      </c>
      <c r="E743" s="3">
        <v>48</v>
      </c>
      <c r="F743" s="90">
        <v>4</v>
      </c>
    </row>
    <row r="744" spans="1:6" x14ac:dyDescent="0.3">
      <c r="A744" s="1" t="s">
        <v>78</v>
      </c>
      <c r="B744" s="1" t="s">
        <v>184</v>
      </c>
      <c r="C744" s="1">
        <v>22</v>
      </c>
      <c r="D744" s="1">
        <v>23</v>
      </c>
      <c r="E744" s="3">
        <v>92</v>
      </c>
      <c r="F744" s="90">
        <v>4</v>
      </c>
    </row>
    <row r="745" spans="1:6" x14ac:dyDescent="0.3">
      <c r="A745" s="1" t="s">
        <v>78</v>
      </c>
      <c r="B745" s="1" t="s">
        <v>183</v>
      </c>
      <c r="C745" s="1">
        <v>32</v>
      </c>
      <c r="D745" s="1">
        <v>9</v>
      </c>
      <c r="E745" s="3">
        <v>90</v>
      </c>
      <c r="F745" s="90">
        <v>10</v>
      </c>
    </row>
    <row r="746" spans="1:6" x14ac:dyDescent="0.3">
      <c r="A746" s="1" t="s">
        <v>78</v>
      </c>
      <c r="B746" s="1" t="s">
        <v>183</v>
      </c>
      <c r="C746" s="1">
        <v>35</v>
      </c>
      <c r="D746" s="1">
        <v>1</v>
      </c>
      <c r="E746" s="3">
        <v>6</v>
      </c>
      <c r="F746" s="90">
        <v>6</v>
      </c>
    </row>
    <row r="747" spans="1:6" x14ac:dyDescent="0.3">
      <c r="A747" s="1" t="s">
        <v>78</v>
      </c>
      <c r="B747" s="1" t="s">
        <v>5</v>
      </c>
      <c r="C747" s="1">
        <v>0</v>
      </c>
      <c r="D747" s="1">
        <v>92</v>
      </c>
      <c r="E747" s="3">
        <v>0</v>
      </c>
      <c r="F747" s="90">
        <v>0</v>
      </c>
    </row>
    <row r="748" spans="1:6" x14ac:dyDescent="0.3">
      <c r="A748" s="1" t="s">
        <v>78</v>
      </c>
      <c r="B748" s="1" t="s">
        <v>5</v>
      </c>
      <c r="C748" s="1">
        <v>11</v>
      </c>
      <c r="D748" s="1">
        <v>506</v>
      </c>
      <c r="E748" s="3">
        <v>3542</v>
      </c>
      <c r="F748" s="90">
        <v>7</v>
      </c>
    </row>
    <row r="749" spans="1:6" x14ac:dyDescent="0.3">
      <c r="A749" s="1" t="s">
        <v>78</v>
      </c>
      <c r="B749" s="1" t="s">
        <v>5</v>
      </c>
      <c r="C749" s="1">
        <v>12</v>
      </c>
      <c r="D749" s="1">
        <v>284</v>
      </c>
      <c r="E749" s="3">
        <v>1704</v>
      </c>
      <c r="F749" s="90">
        <v>6</v>
      </c>
    </row>
    <row r="750" spans="1:6" x14ac:dyDescent="0.3">
      <c r="A750" s="1" t="s">
        <v>78</v>
      </c>
      <c r="B750" s="1" t="s">
        <v>5</v>
      </c>
      <c r="C750" s="1">
        <v>14</v>
      </c>
      <c r="D750" s="1">
        <v>1</v>
      </c>
      <c r="E750" s="3">
        <v>10.5</v>
      </c>
      <c r="F750" s="90">
        <v>10.5</v>
      </c>
    </row>
    <row r="751" spans="1:6" x14ac:dyDescent="0.3">
      <c r="A751" s="1" t="s">
        <v>78</v>
      </c>
      <c r="B751" s="1" t="s">
        <v>5</v>
      </c>
      <c r="C751" s="1">
        <v>15</v>
      </c>
      <c r="D751" s="1">
        <v>9</v>
      </c>
      <c r="E751" s="3">
        <v>40.5</v>
      </c>
      <c r="F751" s="90">
        <v>4.5</v>
      </c>
    </row>
    <row r="752" spans="1:6" x14ac:dyDescent="0.3">
      <c r="A752" s="1" t="s">
        <v>78</v>
      </c>
      <c r="B752" s="1" t="s">
        <v>5</v>
      </c>
      <c r="C752" s="1">
        <v>16</v>
      </c>
      <c r="D752" s="1">
        <v>1056</v>
      </c>
      <c r="E752" s="3">
        <v>7409</v>
      </c>
      <c r="F752" s="90">
        <v>7.01609848484848</v>
      </c>
    </row>
    <row r="753" spans="1:6" x14ac:dyDescent="0.3">
      <c r="A753" s="1" t="s">
        <v>79</v>
      </c>
      <c r="B753" s="1" t="s">
        <v>184</v>
      </c>
      <c r="C753" s="1">
        <v>0</v>
      </c>
      <c r="D753" s="1">
        <v>16</v>
      </c>
      <c r="E753" s="3">
        <v>0</v>
      </c>
      <c r="F753" s="90">
        <v>0</v>
      </c>
    </row>
    <row r="754" spans="1:6" x14ac:dyDescent="0.3">
      <c r="A754" s="1" t="s">
        <v>79</v>
      </c>
      <c r="B754" s="1" t="s">
        <v>184</v>
      </c>
      <c r="C754" s="1">
        <v>21</v>
      </c>
      <c r="D754" s="1">
        <v>157</v>
      </c>
      <c r="E754" s="3">
        <v>628</v>
      </c>
      <c r="F754" s="90">
        <v>4</v>
      </c>
    </row>
    <row r="755" spans="1:6" x14ac:dyDescent="0.3">
      <c r="A755" s="1" t="s">
        <v>79</v>
      </c>
      <c r="B755" s="1" t="s">
        <v>184</v>
      </c>
      <c r="C755" s="1">
        <v>22</v>
      </c>
      <c r="D755" s="1">
        <v>109</v>
      </c>
      <c r="E755" s="3">
        <v>436</v>
      </c>
      <c r="F755" s="90">
        <v>4</v>
      </c>
    </row>
    <row r="756" spans="1:6" x14ac:dyDescent="0.3">
      <c r="A756" s="1" t="s">
        <v>79</v>
      </c>
      <c r="B756" s="1" t="s">
        <v>184</v>
      </c>
      <c r="C756" s="1">
        <v>25</v>
      </c>
      <c r="D756" s="1">
        <v>1</v>
      </c>
      <c r="E756" s="3">
        <v>2</v>
      </c>
      <c r="F756" s="90">
        <v>2</v>
      </c>
    </row>
    <row r="757" spans="1:6" x14ac:dyDescent="0.3">
      <c r="A757" s="1" t="s">
        <v>79</v>
      </c>
      <c r="B757" s="1" t="s">
        <v>183</v>
      </c>
      <c r="C757" s="1">
        <v>0</v>
      </c>
      <c r="D757" s="1">
        <v>12</v>
      </c>
      <c r="E757" s="3">
        <v>0</v>
      </c>
      <c r="F757" s="90">
        <v>0</v>
      </c>
    </row>
    <row r="758" spans="1:6" x14ac:dyDescent="0.3">
      <c r="A758" s="1" t="s">
        <v>79</v>
      </c>
      <c r="B758" s="1" t="s">
        <v>183</v>
      </c>
      <c r="C758" s="1">
        <v>31</v>
      </c>
      <c r="D758" s="1">
        <v>194</v>
      </c>
      <c r="E758" s="3">
        <v>1552</v>
      </c>
      <c r="F758" s="90">
        <v>8</v>
      </c>
    </row>
    <row r="759" spans="1:6" x14ac:dyDescent="0.3">
      <c r="A759" s="1" t="s">
        <v>79</v>
      </c>
      <c r="B759" s="1" t="s">
        <v>183</v>
      </c>
      <c r="C759" s="1">
        <v>32</v>
      </c>
      <c r="D759" s="1">
        <v>189</v>
      </c>
      <c r="E759" s="3">
        <v>1890</v>
      </c>
      <c r="F759" s="90">
        <v>10</v>
      </c>
    </row>
    <row r="760" spans="1:6" x14ac:dyDescent="0.3">
      <c r="A760" s="1" t="s">
        <v>79</v>
      </c>
      <c r="B760" s="1" t="s">
        <v>183</v>
      </c>
      <c r="C760" s="1">
        <v>35</v>
      </c>
      <c r="D760" s="1">
        <v>31</v>
      </c>
      <c r="E760" s="3">
        <v>230</v>
      </c>
      <c r="F760" s="90">
        <v>7.4193548387096797</v>
      </c>
    </row>
    <row r="761" spans="1:6" x14ac:dyDescent="0.3">
      <c r="A761" s="1" t="s">
        <v>79</v>
      </c>
      <c r="B761" s="1" t="s">
        <v>159</v>
      </c>
      <c r="C761" s="1">
        <v>41</v>
      </c>
      <c r="D761" s="1">
        <v>6</v>
      </c>
      <c r="E761" s="3">
        <v>12</v>
      </c>
      <c r="F761" s="90">
        <v>2</v>
      </c>
    </row>
    <row r="762" spans="1:6" x14ac:dyDescent="0.3">
      <c r="A762" s="1" t="s">
        <v>79</v>
      </c>
      <c r="B762" s="1" t="s">
        <v>159</v>
      </c>
      <c r="C762" s="1">
        <v>42</v>
      </c>
      <c r="D762" s="1">
        <v>127</v>
      </c>
      <c r="E762" s="3">
        <v>254</v>
      </c>
      <c r="F762" s="90">
        <v>2</v>
      </c>
    </row>
    <row r="763" spans="1:6" x14ac:dyDescent="0.3">
      <c r="A763" s="1" t="s">
        <v>79</v>
      </c>
      <c r="B763" s="1" t="s">
        <v>5</v>
      </c>
      <c r="C763" s="1">
        <v>0</v>
      </c>
      <c r="D763" s="1">
        <v>988</v>
      </c>
      <c r="E763" s="3">
        <v>0</v>
      </c>
      <c r="F763" s="90">
        <v>0</v>
      </c>
    </row>
    <row r="764" spans="1:6" x14ac:dyDescent="0.3">
      <c r="A764" s="1" t="s">
        <v>79</v>
      </c>
      <c r="B764" s="1" t="s">
        <v>5</v>
      </c>
      <c r="C764" s="1">
        <v>11</v>
      </c>
      <c r="D764" s="1">
        <v>3063</v>
      </c>
      <c r="E764" s="3">
        <v>21441</v>
      </c>
      <c r="F764" s="90">
        <v>7</v>
      </c>
    </row>
    <row r="765" spans="1:6" x14ac:dyDescent="0.3">
      <c r="A765" s="1" t="s">
        <v>79</v>
      </c>
      <c r="B765" s="1" t="s">
        <v>5</v>
      </c>
      <c r="C765" s="1">
        <v>12</v>
      </c>
      <c r="D765" s="1">
        <v>6380</v>
      </c>
      <c r="E765" s="3">
        <v>51040</v>
      </c>
      <c r="F765" s="90">
        <v>8</v>
      </c>
    </row>
    <row r="766" spans="1:6" x14ac:dyDescent="0.3">
      <c r="A766" s="1" t="s">
        <v>79</v>
      </c>
      <c r="B766" s="1" t="s">
        <v>5</v>
      </c>
      <c r="C766" s="1">
        <v>13</v>
      </c>
      <c r="D766" s="1">
        <v>27</v>
      </c>
      <c r="E766" s="3">
        <v>142.4</v>
      </c>
      <c r="F766" s="90">
        <v>5.2740740740740701</v>
      </c>
    </row>
    <row r="767" spans="1:6" x14ac:dyDescent="0.3">
      <c r="A767" s="1" t="s">
        <v>79</v>
      </c>
      <c r="B767" s="1" t="s">
        <v>5</v>
      </c>
      <c r="C767" s="1">
        <v>14</v>
      </c>
      <c r="D767" s="1">
        <v>94</v>
      </c>
      <c r="E767" s="3">
        <v>1423.2</v>
      </c>
      <c r="F767" s="90">
        <v>15.1404255319149</v>
      </c>
    </row>
    <row r="768" spans="1:6" x14ac:dyDescent="0.3">
      <c r="A768" s="1" t="s">
        <v>79</v>
      </c>
      <c r="B768" s="1" t="s">
        <v>5</v>
      </c>
      <c r="C768" s="1">
        <v>15</v>
      </c>
      <c r="D768" s="1">
        <v>75</v>
      </c>
      <c r="E768" s="3">
        <v>396.2</v>
      </c>
      <c r="F768" s="90">
        <v>5.2826666666666702</v>
      </c>
    </row>
    <row r="769" spans="1:6" x14ac:dyDescent="0.3">
      <c r="A769" s="1" t="s">
        <v>79</v>
      </c>
      <c r="B769" s="1" t="s">
        <v>5</v>
      </c>
      <c r="C769" s="1">
        <v>16</v>
      </c>
      <c r="D769" s="1">
        <v>53</v>
      </c>
      <c r="E769" s="3">
        <v>817.5</v>
      </c>
      <c r="F769" s="90">
        <v>15.4245283018868</v>
      </c>
    </row>
    <row r="770" spans="1:6" x14ac:dyDescent="0.3">
      <c r="A770" s="1" t="s">
        <v>80</v>
      </c>
      <c r="B770" s="1" t="s">
        <v>184</v>
      </c>
      <c r="C770" s="1">
        <v>0</v>
      </c>
      <c r="D770" s="1">
        <v>2</v>
      </c>
      <c r="E770" s="3">
        <v>0</v>
      </c>
      <c r="F770" s="90">
        <v>0</v>
      </c>
    </row>
    <row r="771" spans="1:6" x14ac:dyDescent="0.3">
      <c r="A771" s="1" t="s">
        <v>80</v>
      </c>
      <c r="B771" s="1" t="s">
        <v>184</v>
      </c>
      <c r="C771" s="1">
        <v>21</v>
      </c>
      <c r="D771" s="1">
        <v>111</v>
      </c>
      <c r="E771" s="3">
        <v>444</v>
      </c>
      <c r="F771" s="90">
        <v>4</v>
      </c>
    </row>
    <row r="772" spans="1:6" x14ac:dyDescent="0.3">
      <c r="A772" s="1" t="s">
        <v>80</v>
      </c>
      <c r="B772" s="1" t="s">
        <v>184</v>
      </c>
      <c r="C772" s="1">
        <v>22</v>
      </c>
      <c r="D772" s="1">
        <v>35</v>
      </c>
      <c r="E772" s="3">
        <v>140</v>
      </c>
      <c r="F772" s="90">
        <v>4</v>
      </c>
    </row>
    <row r="773" spans="1:6" x14ac:dyDescent="0.3">
      <c r="A773" s="1" t="s">
        <v>80</v>
      </c>
      <c r="B773" s="1" t="s">
        <v>184</v>
      </c>
      <c r="C773" s="1">
        <v>24</v>
      </c>
      <c r="D773" s="1">
        <v>1</v>
      </c>
      <c r="E773" s="3">
        <v>8</v>
      </c>
      <c r="F773" s="90">
        <v>8</v>
      </c>
    </row>
    <row r="774" spans="1:6" x14ac:dyDescent="0.3">
      <c r="A774" s="1" t="s">
        <v>80</v>
      </c>
      <c r="B774" s="1" t="s">
        <v>183</v>
      </c>
      <c r="C774" s="1">
        <v>0</v>
      </c>
      <c r="D774" s="1">
        <v>5</v>
      </c>
      <c r="E774" s="3">
        <v>0</v>
      </c>
      <c r="F774" s="90">
        <v>0</v>
      </c>
    </row>
    <row r="775" spans="1:6" x14ac:dyDescent="0.3">
      <c r="A775" s="1" t="s">
        <v>80</v>
      </c>
      <c r="B775" s="1" t="s">
        <v>183</v>
      </c>
      <c r="C775" s="1">
        <v>31</v>
      </c>
      <c r="D775" s="1">
        <v>304</v>
      </c>
      <c r="E775" s="3">
        <v>2432</v>
      </c>
      <c r="F775" s="90">
        <v>8</v>
      </c>
    </row>
    <row r="776" spans="1:6" x14ac:dyDescent="0.3">
      <c r="A776" s="1" t="s">
        <v>80</v>
      </c>
      <c r="B776" s="1" t="s">
        <v>183</v>
      </c>
      <c r="C776" s="1">
        <v>32</v>
      </c>
      <c r="D776" s="1">
        <v>116</v>
      </c>
      <c r="E776" s="3">
        <v>1160</v>
      </c>
      <c r="F776" s="90">
        <v>10</v>
      </c>
    </row>
    <row r="777" spans="1:6" x14ac:dyDescent="0.3">
      <c r="A777" s="1" t="s">
        <v>80</v>
      </c>
      <c r="B777" s="1" t="s">
        <v>183</v>
      </c>
      <c r="C777" s="1">
        <v>33</v>
      </c>
      <c r="D777" s="1">
        <v>1</v>
      </c>
      <c r="E777" s="3">
        <v>4</v>
      </c>
      <c r="F777" s="90">
        <v>4</v>
      </c>
    </row>
    <row r="778" spans="1:6" x14ac:dyDescent="0.3">
      <c r="A778" s="1" t="s">
        <v>80</v>
      </c>
      <c r="B778" s="1" t="s">
        <v>183</v>
      </c>
      <c r="C778" s="1">
        <v>34</v>
      </c>
      <c r="D778" s="1">
        <v>1</v>
      </c>
      <c r="E778" s="3">
        <v>10</v>
      </c>
      <c r="F778" s="90">
        <v>10</v>
      </c>
    </row>
    <row r="779" spans="1:6" x14ac:dyDescent="0.3">
      <c r="A779" s="1" t="s">
        <v>80</v>
      </c>
      <c r="B779" s="1" t="s">
        <v>159</v>
      </c>
      <c r="C779" s="1">
        <v>41</v>
      </c>
      <c r="D779" s="1">
        <v>1</v>
      </c>
      <c r="E779" s="3">
        <v>2</v>
      </c>
      <c r="F779" s="90">
        <v>2</v>
      </c>
    </row>
    <row r="780" spans="1:6" x14ac:dyDescent="0.3">
      <c r="A780" s="1" t="s">
        <v>80</v>
      </c>
      <c r="B780" s="1" t="s">
        <v>159</v>
      </c>
      <c r="C780" s="1">
        <v>42</v>
      </c>
      <c r="D780" s="1">
        <v>23</v>
      </c>
      <c r="E780" s="3">
        <v>46</v>
      </c>
      <c r="F780" s="90">
        <v>2</v>
      </c>
    </row>
    <row r="781" spans="1:6" x14ac:dyDescent="0.3">
      <c r="A781" s="1" t="s">
        <v>80</v>
      </c>
      <c r="B781" s="1" t="s">
        <v>5</v>
      </c>
      <c r="C781" s="1">
        <v>0</v>
      </c>
      <c r="D781" s="1">
        <v>5</v>
      </c>
      <c r="E781" s="3">
        <v>0</v>
      </c>
      <c r="F781" s="90">
        <v>0</v>
      </c>
    </row>
    <row r="782" spans="1:6" x14ac:dyDescent="0.3">
      <c r="A782" s="1" t="s">
        <v>80</v>
      </c>
      <c r="B782" s="1" t="s">
        <v>5</v>
      </c>
      <c r="C782" s="1">
        <v>11</v>
      </c>
      <c r="D782" s="1">
        <v>467</v>
      </c>
      <c r="E782" s="3">
        <v>5604</v>
      </c>
      <c r="F782" s="90">
        <v>12</v>
      </c>
    </row>
    <row r="783" spans="1:6" x14ac:dyDescent="0.3">
      <c r="A783" s="1" t="s">
        <v>80</v>
      </c>
      <c r="B783" s="1" t="s">
        <v>5</v>
      </c>
      <c r="C783" s="1">
        <v>12</v>
      </c>
      <c r="D783" s="1">
        <v>97</v>
      </c>
      <c r="E783" s="3">
        <v>2037</v>
      </c>
      <c r="F783" s="90">
        <v>21</v>
      </c>
    </row>
    <row r="784" spans="1:6" x14ac:dyDescent="0.3">
      <c r="A784" s="1" t="s">
        <v>80</v>
      </c>
      <c r="B784" s="1" t="s">
        <v>5</v>
      </c>
      <c r="C784" s="1">
        <v>13</v>
      </c>
      <c r="D784" s="1">
        <v>1</v>
      </c>
      <c r="E784" s="3">
        <v>8</v>
      </c>
      <c r="F784" s="90">
        <v>8</v>
      </c>
    </row>
    <row r="785" spans="1:6" x14ac:dyDescent="0.3">
      <c r="A785" s="1" t="s">
        <v>80</v>
      </c>
      <c r="B785" s="1" t="s">
        <v>5</v>
      </c>
      <c r="C785" s="1">
        <v>14</v>
      </c>
      <c r="D785" s="1">
        <v>1</v>
      </c>
      <c r="E785" s="3">
        <v>15</v>
      </c>
      <c r="F785" s="90">
        <v>15</v>
      </c>
    </row>
    <row r="786" spans="1:6" x14ac:dyDescent="0.3">
      <c r="A786" s="1" t="s">
        <v>80</v>
      </c>
      <c r="B786" s="1" t="s">
        <v>5</v>
      </c>
      <c r="C786" s="1">
        <v>15</v>
      </c>
      <c r="D786" s="1">
        <v>1</v>
      </c>
      <c r="E786" s="3">
        <v>10</v>
      </c>
      <c r="F786" s="90">
        <v>10</v>
      </c>
    </row>
    <row r="787" spans="1:6" x14ac:dyDescent="0.3">
      <c r="A787" s="1" t="s">
        <v>81</v>
      </c>
      <c r="B787" s="1" t="s">
        <v>184</v>
      </c>
      <c r="C787" s="1">
        <v>0</v>
      </c>
      <c r="D787" s="1">
        <v>1</v>
      </c>
      <c r="E787" s="3">
        <v>0</v>
      </c>
      <c r="F787" s="90">
        <v>0</v>
      </c>
    </row>
    <row r="788" spans="1:6" x14ac:dyDescent="0.3">
      <c r="A788" s="1" t="s">
        <v>81</v>
      </c>
      <c r="B788" s="1" t="s">
        <v>184</v>
      </c>
      <c r="C788" s="1">
        <v>21</v>
      </c>
      <c r="D788" s="1">
        <v>1</v>
      </c>
      <c r="E788" s="3">
        <v>4</v>
      </c>
      <c r="F788" s="90">
        <v>4</v>
      </c>
    </row>
    <row r="789" spans="1:6" x14ac:dyDescent="0.3">
      <c r="A789" s="1" t="s">
        <v>81</v>
      </c>
      <c r="B789" s="1" t="s">
        <v>184</v>
      </c>
      <c r="C789" s="1">
        <v>22</v>
      </c>
      <c r="D789" s="1">
        <v>1</v>
      </c>
      <c r="E789" s="3">
        <v>4</v>
      </c>
      <c r="F789" s="90">
        <v>4</v>
      </c>
    </row>
    <row r="790" spans="1:6" x14ac:dyDescent="0.3">
      <c r="A790" s="1" t="s">
        <v>81</v>
      </c>
      <c r="B790" s="1" t="s">
        <v>183</v>
      </c>
      <c r="C790" s="1">
        <v>31</v>
      </c>
      <c r="D790" s="1">
        <v>6</v>
      </c>
      <c r="E790" s="3">
        <v>48</v>
      </c>
      <c r="F790" s="90">
        <v>8</v>
      </c>
    </row>
    <row r="791" spans="1:6" x14ac:dyDescent="0.3">
      <c r="A791" s="1" t="s">
        <v>81</v>
      </c>
      <c r="B791" s="1" t="s">
        <v>183</v>
      </c>
      <c r="C791" s="1">
        <v>32</v>
      </c>
      <c r="D791" s="1">
        <v>2</v>
      </c>
      <c r="E791" s="3">
        <v>20</v>
      </c>
      <c r="F791" s="90">
        <v>10</v>
      </c>
    </row>
    <row r="792" spans="1:6" x14ac:dyDescent="0.3">
      <c r="A792" s="1" t="s">
        <v>81</v>
      </c>
      <c r="B792" s="1" t="s">
        <v>159</v>
      </c>
      <c r="C792" s="1">
        <v>42</v>
      </c>
      <c r="D792" s="1">
        <v>3</v>
      </c>
      <c r="E792" s="3">
        <v>6</v>
      </c>
      <c r="F792" s="90">
        <v>2</v>
      </c>
    </row>
    <row r="793" spans="1:6" x14ac:dyDescent="0.3">
      <c r="A793" s="1" t="s">
        <v>81</v>
      </c>
      <c r="B793" s="1" t="s">
        <v>5</v>
      </c>
      <c r="C793" s="1">
        <v>0</v>
      </c>
      <c r="D793" s="1">
        <v>8</v>
      </c>
      <c r="E793" s="3">
        <v>0</v>
      </c>
      <c r="F793" s="90">
        <v>0</v>
      </c>
    </row>
    <row r="794" spans="1:6" x14ac:dyDescent="0.3">
      <c r="A794" s="1" t="s">
        <v>81</v>
      </c>
      <c r="B794" s="1" t="s">
        <v>5</v>
      </c>
      <c r="C794" s="1">
        <v>11</v>
      </c>
      <c r="D794" s="1">
        <v>44</v>
      </c>
      <c r="E794" s="3">
        <v>308</v>
      </c>
      <c r="F794" s="90">
        <v>7</v>
      </c>
    </row>
    <row r="795" spans="1:6" x14ac:dyDescent="0.3">
      <c r="A795" s="1" t="s">
        <v>81</v>
      </c>
      <c r="B795" s="1" t="s">
        <v>5</v>
      </c>
      <c r="C795" s="1">
        <v>12</v>
      </c>
      <c r="D795" s="1">
        <v>14</v>
      </c>
      <c r="E795" s="3">
        <v>154</v>
      </c>
      <c r="F795" s="90">
        <v>11</v>
      </c>
    </row>
    <row r="796" spans="1:6" x14ac:dyDescent="0.3">
      <c r="A796" s="1" t="s">
        <v>81</v>
      </c>
      <c r="B796" s="1" t="s">
        <v>5</v>
      </c>
      <c r="C796" s="1">
        <v>13</v>
      </c>
      <c r="D796" s="1">
        <v>4</v>
      </c>
      <c r="E796" s="3">
        <v>21.2</v>
      </c>
      <c r="F796" s="90">
        <v>5.3</v>
      </c>
    </row>
    <row r="797" spans="1:6" x14ac:dyDescent="0.3">
      <c r="A797" s="1" t="s">
        <v>81</v>
      </c>
      <c r="B797" s="1" t="s">
        <v>5</v>
      </c>
      <c r="C797" s="1">
        <v>14</v>
      </c>
      <c r="D797" s="1">
        <v>2</v>
      </c>
      <c r="E797" s="3">
        <v>24.5</v>
      </c>
      <c r="F797" s="90">
        <v>12.25</v>
      </c>
    </row>
    <row r="798" spans="1:6" x14ac:dyDescent="0.3">
      <c r="A798" s="1" t="s">
        <v>81</v>
      </c>
      <c r="B798" s="1" t="s">
        <v>5</v>
      </c>
      <c r="C798" s="1">
        <v>15</v>
      </c>
      <c r="D798" s="1">
        <v>2</v>
      </c>
      <c r="E798" s="3">
        <v>16.600000000000001</v>
      </c>
      <c r="F798" s="90">
        <v>8.3000000000000007</v>
      </c>
    </row>
    <row r="799" spans="1:6" x14ac:dyDescent="0.3">
      <c r="A799" s="1" t="s">
        <v>82</v>
      </c>
      <c r="B799" s="1" t="s">
        <v>184</v>
      </c>
      <c r="C799" s="1">
        <v>0</v>
      </c>
      <c r="D799" s="1">
        <v>4</v>
      </c>
      <c r="E799" s="3">
        <v>0</v>
      </c>
      <c r="F799" s="90">
        <v>0</v>
      </c>
    </row>
    <row r="800" spans="1:6" x14ac:dyDescent="0.3">
      <c r="A800" s="1" t="s">
        <v>82</v>
      </c>
      <c r="B800" s="1" t="s">
        <v>184</v>
      </c>
      <c r="C800" s="1">
        <v>21</v>
      </c>
      <c r="D800" s="1">
        <v>72</v>
      </c>
      <c r="E800" s="3">
        <v>288</v>
      </c>
      <c r="F800" s="90">
        <v>4</v>
      </c>
    </row>
    <row r="801" spans="1:6" x14ac:dyDescent="0.3">
      <c r="A801" s="1" t="s">
        <v>82</v>
      </c>
      <c r="B801" s="1" t="s">
        <v>184</v>
      </c>
      <c r="C801" s="1">
        <v>22</v>
      </c>
      <c r="D801" s="1">
        <v>37</v>
      </c>
      <c r="E801" s="3">
        <v>148</v>
      </c>
      <c r="F801" s="90">
        <v>4</v>
      </c>
    </row>
    <row r="802" spans="1:6" x14ac:dyDescent="0.3">
      <c r="A802" s="1" t="s">
        <v>82</v>
      </c>
      <c r="B802" s="1" t="s">
        <v>183</v>
      </c>
      <c r="C802" s="1">
        <v>0</v>
      </c>
      <c r="D802" s="1">
        <v>2</v>
      </c>
      <c r="E802" s="3">
        <v>0</v>
      </c>
      <c r="F802" s="90">
        <v>0</v>
      </c>
    </row>
    <row r="803" spans="1:6" x14ac:dyDescent="0.3">
      <c r="A803" s="1" t="s">
        <v>82</v>
      </c>
      <c r="B803" s="1" t="s">
        <v>183</v>
      </c>
      <c r="C803" s="1">
        <v>31</v>
      </c>
      <c r="D803" s="1">
        <v>113</v>
      </c>
      <c r="E803" s="3">
        <v>904</v>
      </c>
      <c r="F803" s="90">
        <v>8</v>
      </c>
    </row>
    <row r="804" spans="1:6" x14ac:dyDescent="0.3">
      <c r="A804" s="1" t="s">
        <v>82</v>
      </c>
      <c r="B804" s="1" t="s">
        <v>183</v>
      </c>
      <c r="C804" s="1">
        <v>32</v>
      </c>
      <c r="D804" s="1">
        <v>51</v>
      </c>
      <c r="E804" s="3">
        <v>510</v>
      </c>
      <c r="F804" s="90">
        <v>10</v>
      </c>
    </row>
    <row r="805" spans="1:6" x14ac:dyDescent="0.3">
      <c r="A805" s="1" t="s">
        <v>82</v>
      </c>
      <c r="B805" s="1" t="s">
        <v>183</v>
      </c>
      <c r="C805" s="1">
        <v>33</v>
      </c>
      <c r="D805" s="1">
        <v>1</v>
      </c>
      <c r="E805" s="3">
        <v>5.3</v>
      </c>
      <c r="F805" s="90">
        <v>5.3</v>
      </c>
    </row>
    <row r="806" spans="1:6" x14ac:dyDescent="0.3">
      <c r="A806" s="1" t="s">
        <v>82</v>
      </c>
      <c r="B806" s="1" t="s">
        <v>159</v>
      </c>
      <c r="C806" s="1">
        <v>41</v>
      </c>
      <c r="D806" s="1">
        <v>2</v>
      </c>
      <c r="E806" s="3">
        <v>4</v>
      </c>
      <c r="F806" s="90">
        <v>2</v>
      </c>
    </row>
    <row r="807" spans="1:6" x14ac:dyDescent="0.3">
      <c r="A807" s="1" t="s">
        <v>82</v>
      </c>
      <c r="B807" s="1" t="s">
        <v>159</v>
      </c>
      <c r="C807" s="1">
        <v>42</v>
      </c>
      <c r="D807" s="1">
        <v>19</v>
      </c>
      <c r="E807" s="3">
        <v>38</v>
      </c>
      <c r="F807" s="90">
        <v>2</v>
      </c>
    </row>
    <row r="808" spans="1:6" x14ac:dyDescent="0.3">
      <c r="A808" s="1" t="s">
        <v>82</v>
      </c>
      <c r="B808" s="1" t="s">
        <v>5</v>
      </c>
      <c r="C808" s="1">
        <v>0</v>
      </c>
      <c r="D808" s="1">
        <v>44</v>
      </c>
      <c r="E808" s="3">
        <v>0</v>
      </c>
      <c r="F808" s="90">
        <v>0</v>
      </c>
    </row>
    <row r="809" spans="1:6" x14ac:dyDescent="0.3">
      <c r="A809" s="1" t="s">
        <v>82</v>
      </c>
      <c r="B809" s="1" t="s">
        <v>5</v>
      </c>
      <c r="C809" s="1">
        <v>11</v>
      </c>
      <c r="D809" s="1">
        <v>1199</v>
      </c>
      <c r="E809" s="3">
        <v>8393</v>
      </c>
      <c r="F809" s="90">
        <v>7</v>
      </c>
    </row>
    <row r="810" spans="1:6" x14ac:dyDescent="0.3">
      <c r="A810" s="1" t="s">
        <v>82</v>
      </c>
      <c r="B810" s="1" t="s">
        <v>5</v>
      </c>
      <c r="C810" s="1">
        <v>12</v>
      </c>
      <c r="D810" s="1">
        <v>321</v>
      </c>
      <c r="E810" s="3">
        <v>3210</v>
      </c>
      <c r="F810" s="90">
        <v>10</v>
      </c>
    </row>
    <row r="811" spans="1:6" x14ac:dyDescent="0.3">
      <c r="A811" s="1" t="s">
        <v>82</v>
      </c>
      <c r="B811" s="1" t="s">
        <v>5</v>
      </c>
      <c r="C811" s="1">
        <v>13</v>
      </c>
      <c r="D811" s="1">
        <v>61</v>
      </c>
      <c r="E811" s="3">
        <v>315.5</v>
      </c>
      <c r="F811" s="90">
        <v>5.1721311475409903</v>
      </c>
    </row>
    <row r="812" spans="1:6" x14ac:dyDescent="0.3">
      <c r="A812" s="1" t="s">
        <v>82</v>
      </c>
      <c r="B812" s="1" t="s">
        <v>5</v>
      </c>
      <c r="C812" s="1">
        <v>14</v>
      </c>
      <c r="D812" s="1">
        <v>6</v>
      </c>
      <c r="E812" s="3">
        <v>52.5</v>
      </c>
      <c r="F812" s="90">
        <v>8.75</v>
      </c>
    </row>
    <row r="813" spans="1:6" x14ac:dyDescent="0.3">
      <c r="A813" s="1" t="s">
        <v>82</v>
      </c>
      <c r="B813" s="1" t="s">
        <v>5</v>
      </c>
      <c r="C813" s="1">
        <v>15</v>
      </c>
      <c r="D813" s="1">
        <v>19</v>
      </c>
      <c r="E813" s="3">
        <v>135</v>
      </c>
      <c r="F813" s="90">
        <v>7.1052631578947398</v>
      </c>
    </row>
    <row r="814" spans="1:6" x14ac:dyDescent="0.3">
      <c r="A814" s="1" t="s">
        <v>82</v>
      </c>
      <c r="B814" s="1" t="s">
        <v>5</v>
      </c>
      <c r="C814" s="1">
        <v>16</v>
      </c>
      <c r="D814" s="1">
        <v>1</v>
      </c>
      <c r="E814" s="3">
        <v>15</v>
      </c>
      <c r="F814" s="90">
        <v>15</v>
      </c>
    </row>
    <row r="815" spans="1:6" x14ac:dyDescent="0.3">
      <c r="A815" s="1" t="s">
        <v>83</v>
      </c>
      <c r="B815" s="1" t="s">
        <v>184</v>
      </c>
      <c r="C815" s="1">
        <v>0</v>
      </c>
      <c r="D815" s="1">
        <v>1</v>
      </c>
      <c r="E815" s="3">
        <v>0</v>
      </c>
      <c r="F815" s="90">
        <v>0</v>
      </c>
    </row>
    <row r="816" spans="1:6" x14ac:dyDescent="0.3">
      <c r="A816" s="1" t="s">
        <v>83</v>
      </c>
      <c r="B816" s="1" t="s">
        <v>184</v>
      </c>
      <c r="C816" s="1">
        <v>21</v>
      </c>
      <c r="D816" s="1">
        <v>7</v>
      </c>
      <c r="E816" s="3">
        <v>28</v>
      </c>
      <c r="F816" s="90">
        <v>4</v>
      </c>
    </row>
    <row r="817" spans="1:6" x14ac:dyDescent="0.3">
      <c r="A817" s="1" t="s">
        <v>83</v>
      </c>
      <c r="B817" s="1" t="s">
        <v>183</v>
      </c>
      <c r="C817" s="1">
        <v>31</v>
      </c>
      <c r="D817" s="1">
        <v>6</v>
      </c>
      <c r="E817" s="3">
        <v>48</v>
      </c>
      <c r="F817" s="90">
        <v>8</v>
      </c>
    </row>
    <row r="818" spans="1:6" x14ac:dyDescent="0.3">
      <c r="A818" s="1" t="s">
        <v>83</v>
      </c>
      <c r="B818" s="1" t="s">
        <v>183</v>
      </c>
      <c r="C818" s="1">
        <v>32</v>
      </c>
      <c r="D818" s="1">
        <v>4</v>
      </c>
      <c r="E818" s="3">
        <v>40</v>
      </c>
      <c r="F818" s="90">
        <v>10</v>
      </c>
    </row>
    <row r="819" spans="1:6" x14ac:dyDescent="0.3">
      <c r="A819" s="1" t="s">
        <v>83</v>
      </c>
      <c r="B819" s="1" t="s">
        <v>183</v>
      </c>
      <c r="C819" s="1">
        <v>35</v>
      </c>
      <c r="D819" s="1">
        <v>1</v>
      </c>
      <c r="E819" s="3">
        <v>8</v>
      </c>
      <c r="F819" s="90">
        <v>8</v>
      </c>
    </row>
    <row r="820" spans="1:6" x14ac:dyDescent="0.3">
      <c r="A820" s="1" t="s">
        <v>83</v>
      </c>
      <c r="B820" s="1" t="s">
        <v>159</v>
      </c>
      <c r="C820" s="1">
        <v>42</v>
      </c>
      <c r="D820" s="1">
        <v>6</v>
      </c>
      <c r="E820" s="3">
        <v>12</v>
      </c>
      <c r="F820" s="90">
        <v>2</v>
      </c>
    </row>
    <row r="821" spans="1:6" x14ac:dyDescent="0.3">
      <c r="A821" s="1" t="s">
        <v>83</v>
      </c>
      <c r="B821" s="1" t="s">
        <v>5</v>
      </c>
      <c r="C821" s="1">
        <v>0</v>
      </c>
      <c r="D821" s="1">
        <v>14</v>
      </c>
      <c r="E821" s="3">
        <v>0</v>
      </c>
      <c r="F821" s="90">
        <v>0</v>
      </c>
    </row>
    <row r="822" spans="1:6" x14ac:dyDescent="0.3">
      <c r="A822" s="1" t="s">
        <v>83</v>
      </c>
      <c r="B822" s="1" t="s">
        <v>5</v>
      </c>
      <c r="C822" s="1">
        <v>11</v>
      </c>
      <c r="D822" s="1">
        <v>99</v>
      </c>
      <c r="E822" s="3">
        <v>693</v>
      </c>
      <c r="F822" s="90">
        <v>7</v>
      </c>
    </row>
    <row r="823" spans="1:6" x14ac:dyDescent="0.3">
      <c r="A823" s="1" t="s">
        <v>83</v>
      </c>
      <c r="B823" s="1" t="s">
        <v>5</v>
      </c>
      <c r="C823" s="1">
        <v>12</v>
      </c>
      <c r="D823" s="1">
        <v>109</v>
      </c>
      <c r="E823" s="3">
        <v>872</v>
      </c>
      <c r="F823" s="90">
        <v>8</v>
      </c>
    </row>
    <row r="824" spans="1:6" x14ac:dyDescent="0.3">
      <c r="A824" s="1" t="s">
        <v>83</v>
      </c>
      <c r="B824" s="1" t="s">
        <v>5</v>
      </c>
      <c r="C824" s="1">
        <v>13</v>
      </c>
      <c r="D824" s="1">
        <v>3</v>
      </c>
      <c r="E824" s="3">
        <v>10.5</v>
      </c>
      <c r="F824" s="90">
        <v>3.5</v>
      </c>
    </row>
    <row r="825" spans="1:6" x14ac:dyDescent="0.3">
      <c r="A825" s="1" t="s">
        <v>83</v>
      </c>
      <c r="B825" s="1" t="s">
        <v>5</v>
      </c>
      <c r="C825" s="1">
        <v>15</v>
      </c>
      <c r="D825" s="1">
        <v>2</v>
      </c>
      <c r="E825" s="3">
        <v>4</v>
      </c>
      <c r="F825" s="90">
        <v>2</v>
      </c>
    </row>
    <row r="826" spans="1:6" x14ac:dyDescent="0.3">
      <c r="A826" s="1" t="s">
        <v>84</v>
      </c>
      <c r="B826" s="1" t="s">
        <v>184</v>
      </c>
      <c r="C826" s="1">
        <v>0</v>
      </c>
      <c r="D826" s="1">
        <v>5</v>
      </c>
      <c r="E826" s="3">
        <v>0</v>
      </c>
      <c r="F826" s="90">
        <v>0</v>
      </c>
    </row>
    <row r="827" spans="1:6" x14ac:dyDescent="0.3">
      <c r="A827" s="1" t="s">
        <v>84</v>
      </c>
      <c r="B827" s="1" t="s">
        <v>184</v>
      </c>
      <c r="C827" s="1">
        <v>21</v>
      </c>
      <c r="D827" s="1">
        <v>94</v>
      </c>
      <c r="E827" s="3">
        <v>376</v>
      </c>
      <c r="F827" s="90">
        <v>4</v>
      </c>
    </row>
    <row r="828" spans="1:6" x14ac:dyDescent="0.3">
      <c r="A828" s="1" t="s">
        <v>84</v>
      </c>
      <c r="B828" s="1" t="s">
        <v>184</v>
      </c>
      <c r="C828" s="1">
        <v>22</v>
      </c>
      <c r="D828" s="1">
        <v>29</v>
      </c>
      <c r="E828" s="3">
        <v>116</v>
      </c>
      <c r="F828" s="90">
        <v>4</v>
      </c>
    </row>
    <row r="829" spans="1:6" x14ac:dyDescent="0.3">
      <c r="A829" s="1" t="s">
        <v>84</v>
      </c>
      <c r="B829" s="1" t="s">
        <v>183</v>
      </c>
      <c r="C829" s="1">
        <v>0</v>
      </c>
      <c r="D829" s="1">
        <v>6</v>
      </c>
      <c r="E829" s="3">
        <v>0</v>
      </c>
      <c r="F829" s="90">
        <v>0</v>
      </c>
    </row>
    <row r="830" spans="1:6" x14ac:dyDescent="0.3">
      <c r="A830" s="1" t="s">
        <v>84</v>
      </c>
      <c r="B830" s="1" t="s">
        <v>183</v>
      </c>
      <c r="C830" s="1">
        <v>31</v>
      </c>
      <c r="D830" s="1">
        <v>160</v>
      </c>
      <c r="E830" s="3">
        <v>1280</v>
      </c>
      <c r="F830" s="90">
        <v>8</v>
      </c>
    </row>
    <row r="831" spans="1:6" x14ac:dyDescent="0.3">
      <c r="A831" s="1" t="s">
        <v>84</v>
      </c>
      <c r="B831" s="1" t="s">
        <v>183</v>
      </c>
      <c r="C831" s="1">
        <v>32</v>
      </c>
      <c r="D831" s="1">
        <v>88</v>
      </c>
      <c r="E831" s="3">
        <v>880</v>
      </c>
      <c r="F831" s="90">
        <v>10</v>
      </c>
    </row>
    <row r="832" spans="1:6" x14ac:dyDescent="0.3">
      <c r="A832" s="1" t="s">
        <v>84</v>
      </c>
      <c r="B832" s="1" t="s">
        <v>183</v>
      </c>
      <c r="C832" s="1">
        <v>35</v>
      </c>
      <c r="D832" s="1">
        <v>4</v>
      </c>
      <c r="E832" s="3">
        <v>8</v>
      </c>
      <c r="F832" s="90">
        <v>2</v>
      </c>
    </row>
    <row r="833" spans="1:6" x14ac:dyDescent="0.3">
      <c r="A833" s="1" t="s">
        <v>84</v>
      </c>
      <c r="B833" s="1" t="s">
        <v>159</v>
      </c>
      <c r="C833" s="1">
        <v>41</v>
      </c>
      <c r="D833" s="1">
        <v>1</v>
      </c>
      <c r="E833" s="3">
        <v>2</v>
      </c>
      <c r="F833" s="90">
        <v>2</v>
      </c>
    </row>
    <row r="834" spans="1:6" x14ac:dyDescent="0.3">
      <c r="A834" s="1" t="s">
        <v>84</v>
      </c>
      <c r="B834" s="1" t="s">
        <v>159</v>
      </c>
      <c r="C834" s="1">
        <v>42</v>
      </c>
      <c r="D834" s="1">
        <v>174</v>
      </c>
      <c r="E834" s="3">
        <v>348</v>
      </c>
      <c r="F834" s="90">
        <v>2</v>
      </c>
    </row>
    <row r="835" spans="1:6" x14ac:dyDescent="0.3">
      <c r="A835" s="1" t="s">
        <v>84</v>
      </c>
      <c r="B835" s="1" t="s">
        <v>5</v>
      </c>
      <c r="C835" s="1">
        <v>0</v>
      </c>
      <c r="D835" s="1">
        <v>47</v>
      </c>
      <c r="E835" s="3">
        <v>0</v>
      </c>
      <c r="F835" s="90">
        <v>0</v>
      </c>
    </row>
    <row r="836" spans="1:6" x14ac:dyDescent="0.3">
      <c r="A836" s="1" t="s">
        <v>84</v>
      </c>
      <c r="B836" s="1" t="s">
        <v>5</v>
      </c>
      <c r="C836" s="1">
        <v>11</v>
      </c>
      <c r="D836" s="1">
        <v>545</v>
      </c>
      <c r="E836" s="3">
        <v>3815</v>
      </c>
      <c r="F836" s="90">
        <v>7</v>
      </c>
    </row>
    <row r="837" spans="1:6" x14ac:dyDescent="0.3">
      <c r="A837" s="1" t="s">
        <v>84</v>
      </c>
      <c r="B837" s="1" t="s">
        <v>5</v>
      </c>
      <c r="C837" s="1">
        <v>12</v>
      </c>
      <c r="D837" s="1">
        <v>346</v>
      </c>
      <c r="E837" s="3">
        <v>3460</v>
      </c>
      <c r="F837" s="90">
        <v>10</v>
      </c>
    </row>
    <row r="838" spans="1:6" x14ac:dyDescent="0.3">
      <c r="A838" s="1" t="s">
        <v>84</v>
      </c>
      <c r="B838" s="1" t="s">
        <v>5</v>
      </c>
      <c r="C838" s="1">
        <v>13</v>
      </c>
      <c r="D838" s="1">
        <v>35</v>
      </c>
      <c r="E838" s="3">
        <v>194.4</v>
      </c>
      <c r="F838" s="90">
        <v>5.5542857142857196</v>
      </c>
    </row>
    <row r="839" spans="1:6" x14ac:dyDescent="0.3">
      <c r="A839" s="1" t="s">
        <v>84</v>
      </c>
      <c r="B839" s="1" t="s">
        <v>5</v>
      </c>
      <c r="C839" s="1">
        <v>14</v>
      </c>
      <c r="D839" s="1">
        <v>3</v>
      </c>
      <c r="E839" s="3">
        <v>38</v>
      </c>
      <c r="F839" s="90">
        <v>12.6666666666667</v>
      </c>
    </row>
    <row r="840" spans="1:6" x14ac:dyDescent="0.3">
      <c r="A840" s="1" t="s">
        <v>84</v>
      </c>
      <c r="B840" s="1" t="s">
        <v>5</v>
      </c>
      <c r="C840" s="1">
        <v>15</v>
      </c>
      <c r="D840" s="1">
        <v>69</v>
      </c>
      <c r="E840" s="3">
        <v>227.9</v>
      </c>
      <c r="F840" s="90">
        <v>3.30289855072464</v>
      </c>
    </row>
    <row r="841" spans="1:6" x14ac:dyDescent="0.3">
      <c r="A841" s="1" t="s">
        <v>84</v>
      </c>
      <c r="B841" s="1" t="s">
        <v>5</v>
      </c>
      <c r="C841" s="1">
        <v>16</v>
      </c>
      <c r="D841" s="1">
        <v>1</v>
      </c>
      <c r="E841" s="3">
        <v>17.5</v>
      </c>
      <c r="F841" s="90">
        <v>17.5</v>
      </c>
    </row>
    <row r="842" spans="1:6" x14ac:dyDescent="0.3">
      <c r="A842" s="1" t="s">
        <v>85</v>
      </c>
      <c r="B842" s="1" t="s">
        <v>184</v>
      </c>
      <c r="C842" s="1">
        <v>22</v>
      </c>
      <c r="D842" s="1">
        <v>3</v>
      </c>
      <c r="E842" s="3">
        <v>12</v>
      </c>
      <c r="F842" s="90">
        <v>4</v>
      </c>
    </row>
    <row r="843" spans="1:6" x14ac:dyDescent="0.3">
      <c r="A843" s="1" t="s">
        <v>85</v>
      </c>
      <c r="B843" s="1" t="s">
        <v>183</v>
      </c>
      <c r="C843" s="1">
        <v>32</v>
      </c>
      <c r="D843" s="1">
        <v>12</v>
      </c>
      <c r="E843" s="3">
        <v>120</v>
      </c>
      <c r="F843" s="90">
        <v>10</v>
      </c>
    </row>
    <row r="844" spans="1:6" x14ac:dyDescent="0.3">
      <c r="A844" s="1" t="s">
        <v>85</v>
      </c>
      <c r="B844" s="1" t="s">
        <v>5</v>
      </c>
      <c r="C844" s="1">
        <v>0</v>
      </c>
      <c r="D844" s="1">
        <v>5</v>
      </c>
      <c r="E844" s="3">
        <v>0</v>
      </c>
      <c r="F844" s="90">
        <v>0</v>
      </c>
    </row>
    <row r="845" spans="1:6" x14ac:dyDescent="0.3">
      <c r="A845" s="1" t="s">
        <v>85</v>
      </c>
      <c r="B845" s="1" t="s">
        <v>5</v>
      </c>
      <c r="C845" s="1">
        <v>12</v>
      </c>
      <c r="D845" s="1">
        <v>211</v>
      </c>
      <c r="E845" s="3">
        <v>2110</v>
      </c>
      <c r="F845" s="90">
        <v>10</v>
      </c>
    </row>
    <row r="846" spans="1:6" x14ac:dyDescent="0.3">
      <c r="A846" s="1" t="s">
        <v>85</v>
      </c>
      <c r="B846" s="1" t="s">
        <v>5</v>
      </c>
      <c r="C846" s="1">
        <v>15</v>
      </c>
      <c r="D846" s="1">
        <v>18</v>
      </c>
      <c r="E846" s="3">
        <v>113.3</v>
      </c>
      <c r="F846" s="90">
        <v>6.2944444444444398</v>
      </c>
    </row>
    <row r="847" spans="1:6" x14ac:dyDescent="0.3">
      <c r="A847" s="1" t="s">
        <v>86</v>
      </c>
      <c r="B847" s="1" t="s">
        <v>184</v>
      </c>
      <c r="C847" s="1">
        <v>0</v>
      </c>
      <c r="D847" s="1">
        <v>22</v>
      </c>
      <c r="E847" s="3">
        <v>0</v>
      </c>
      <c r="F847" s="90">
        <v>0</v>
      </c>
    </row>
    <row r="848" spans="1:6" x14ac:dyDescent="0.3">
      <c r="A848" s="1" t="s">
        <v>86</v>
      </c>
      <c r="B848" s="1" t="s">
        <v>184</v>
      </c>
      <c r="C848" s="1">
        <v>21</v>
      </c>
      <c r="D848" s="1">
        <v>288</v>
      </c>
      <c r="E848" s="3">
        <v>1152</v>
      </c>
      <c r="F848" s="90">
        <v>4</v>
      </c>
    </row>
    <row r="849" spans="1:6" x14ac:dyDescent="0.3">
      <c r="A849" s="1" t="s">
        <v>86</v>
      </c>
      <c r="B849" s="1" t="s">
        <v>184</v>
      </c>
      <c r="C849" s="1">
        <v>22</v>
      </c>
      <c r="D849" s="1">
        <v>227</v>
      </c>
      <c r="E849" s="3">
        <v>908</v>
      </c>
      <c r="F849" s="90">
        <v>4</v>
      </c>
    </row>
    <row r="850" spans="1:6" x14ac:dyDescent="0.3">
      <c r="A850" s="1" t="s">
        <v>86</v>
      </c>
      <c r="B850" s="1" t="s">
        <v>184</v>
      </c>
      <c r="C850" s="1">
        <v>26</v>
      </c>
      <c r="D850" s="1">
        <v>1</v>
      </c>
      <c r="E850" s="3">
        <v>12</v>
      </c>
      <c r="F850" s="90">
        <v>12</v>
      </c>
    </row>
    <row r="851" spans="1:6" x14ac:dyDescent="0.3">
      <c r="A851" s="1" t="s">
        <v>86</v>
      </c>
      <c r="B851" s="1" t="s">
        <v>183</v>
      </c>
      <c r="C851" s="1">
        <v>0</v>
      </c>
      <c r="D851" s="1">
        <v>15</v>
      </c>
      <c r="E851" s="3">
        <v>0</v>
      </c>
      <c r="F851" s="90">
        <v>0</v>
      </c>
    </row>
    <row r="852" spans="1:6" x14ac:dyDescent="0.3">
      <c r="A852" s="1" t="s">
        <v>86</v>
      </c>
      <c r="B852" s="1" t="s">
        <v>183</v>
      </c>
      <c r="C852" s="1">
        <v>31</v>
      </c>
      <c r="D852" s="1">
        <v>555</v>
      </c>
      <c r="E852" s="3">
        <v>4440</v>
      </c>
      <c r="F852" s="90">
        <v>8</v>
      </c>
    </row>
    <row r="853" spans="1:6" x14ac:dyDescent="0.3">
      <c r="A853" s="1" t="s">
        <v>86</v>
      </c>
      <c r="B853" s="1" t="s">
        <v>183</v>
      </c>
      <c r="C853" s="1">
        <v>32</v>
      </c>
      <c r="D853" s="1">
        <v>590</v>
      </c>
      <c r="E853" s="3">
        <v>5900</v>
      </c>
      <c r="F853" s="90">
        <v>10</v>
      </c>
    </row>
    <row r="854" spans="1:6" x14ac:dyDescent="0.3">
      <c r="A854" s="1" t="s">
        <v>86</v>
      </c>
      <c r="B854" s="1" t="s">
        <v>183</v>
      </c>
      <c r="C854" s="1">
        <v>35</v>
      </c>
      <c r="D854" s="1">
        <v>7</v>
      </c>
      <c r="E854" s="3">
        <v>28</v>
      </c>
      <c r="F854" s="90">
        <v>4</v>
      </c>
    </row>
    <row r="855" spans="1:6" x14ac:dyDescent="0.3">
      <c r="A855" s="1" t="s">
        <v>86</v>
      </c>
      <c r="B855" s="1" t="s">
        <v>183</v>
      </c>
      <c r="C855" s="1">
        <v>36</v>
      </c>
      <c r="D855" s="1">
        <v>1</v>
      </c>
      <c r="E855" s="3">
        <v>12</v>
      </c>
      <c r="F855" s="90">
        <v>12</v>
      </c>
    </row>
    <row r="856" spans="1:6" x14ac:dyDescent="0.3">
      <c r="A856" s="1" t="s">
        <v>86</v>
      </c>
      <c r="B856" s="1" t="s">
        <v>159</v>
      </c>
      <c r="C856" s="1">
        <v>41</v>
      </c>
      <c r="D856" s="1">
        <v>3</v>
      </c>
      <c r="E856" s="3">
        <v>6</v>
      </c>
      <c r="F856" s="90">
        <v>2</v>
      </c>
    </row>
    <row r="857" spans="1:6" x14ac:dyDescent="0.3">
      <c r="A857" s="1" t="s">
        <v>86</v>
      </c>
      <c r="B857" s="1" t="s">
        <v>159</v>
      </c>
      <c r="C857" s="1">
        <v>42</v>
      </c>
      <c r="D857" s="1">
        <v>141</v>
      </c>
      <c r="E857" s="3">
        <v>282</v>
      </c>
      <c r="F857" s="90">
        <v>2</v>
      </c>
    </row>
    <row r="858" spans="1:6" x14ac:dyDescent="0.3">
      <c r="A858" s="1" t="s">
        <v>86</v>
      </c>
      <c r="B858" s="1" t="s">
        <v>5</v>
      </c>
      <c r="C858" s="1">
        <v>0</v>
      </c>
      <c r="D858" s="1">
        <v>112</v>
      </c>
      <c r="E858" s="3">
        <v>0</v>
      </c>
      <c r="F858" s="90">
        <v>0</v>
      </c>
    </row>
    <row r="859" spans="1:6" x14ac:dyDescent="0.3">
      <c r="A859" s="1" t="s">
        <v>86</v>
      </c>
      <c r="B859" s="1" t="s">
        <v>5</v>
      </c>
      <c r="C859" s="1">
        <v>11</v>
      </c>
      <c r="D859" s="1">
        <v>1443</v>
      </c>
      <c r="E859" s="3">
        <v>10101</v>
      </c>
      <c r="F859" s="90">
        <v>7</v>
      </c>
    </row>
    <row r="860" spans="1:6" x14ac:dyDescent="0.3">
      <c r="A860" s="1" t="s">
        <v>86</v>
      </c>
      <c r="B860" s="1" t="s">
        <v>5</v>
      </c>
      <c r="C860" s="1">
        <v>12</v>
      </c>
      <c r="D860" s="1">
        <v>2034</v>
      </c>
      <c r="E860" s="3">
        <v>24408</v>
      </c>
      <c r="F860" s="90">
        <v>12</v>
      </c>
    </row>
    <row r="861" spans="1:6" x14ac:dyDescent="0.3">
      <c r="A861" s="1" t="s">
        <v>86</v>
      </c>
      <c r="B861" s="1" t="s">
        <v>5</v>
      </c>
      <c r="C861" s="1">
        <v>13</v>
      </c>
      <c r="D861" s="1">
        <v>9</v>
      </c>
      <c r="E861" s="3">
        <v>47.3</v>
      </c>
      <c r="F861" s="90">
        <v>5.25555555555556</v>
      </c>
    </row>
    <row r="862" spans="1:6" x14ac:dyDescent="0.3">
      <c r="A862" s="1" t="s">
        <v>86</v>
      </c>
      <c r="B862" s="1" t="s">
        <v>5</v>
      </c>
      <c r="C862" s="1">
        <v>14</v>
      </c>
      <c r="D862" s="1">
        <v>9</v>
      </c>
      <c r="E862" s="3">
        <v>134</v>
      </c>
      <c r="F862" s="90">
        <v>14.8888888888889</v>
      </c>
    </row>
    <row r="863" spans="1:6" x14ac:dyDescent="0.3">
      <c r="A863" s="1" t="s">
        <v>86</v>
      </c>
      <c r="B863" s="1" t="s">
        <v>5</v>
      </c>
      <c r="C863" s="1">
        <v>15</v>
      </c>
      <c r="D863" s="1">
        <v>27</v>
      </c>
      <c r="E863" s="3">
        <v>158</v>
      </c>
      <c r="F863" s="90">
        <v>5.8518518518518503</v>
      </c>
    </row>
    <row r="864" spans="1:6" x14ac:dyDescent="0.3">
      <c r="A864" s="1" t="s">
        <v>86</v>
      </c>
      <c r="B864" s="1" t="s">
        <v>5</v>
      </c>
      <c r="C864" s="1">
        <v>16</v>
      </c>
      <c r="D864" s="1">
        <v>4</v>
      </c>
      <c r="E864" s="3">
        <v>72</v>
      </c>
      <c r="F864" s="90">
        <v>18</v>
      </c>
    </row>
    <row r="865" spans="1:6" x14ac:dyDescent="0.3">
      <c r="A865" s="1" t="s">
        <v>87</v>
      </c>
      <c r="B865" s="1" t="s">
        <v>184</v>
      </c>
      <c r="C865" s="1">
        <v>0</v>
      </c>
      <c r="D865" s="1">
        <v>2</v>
      </c>
      <c r="E865" s="3">
        <v>0</v>
      </c>
      <c r="F865" s="90">
        <v>0</v>
      </c>
    </row>
    <row r="866" spans="1:6" x14ac:dyDescent="0.3">
      <c r="A866" s="1" t="s">
        <v>87</v>
      </c>
      <c r="B866" s="1" t="s">
        <v>184</v>
      </c>
      <c r="C866" s="1">
        <v>21</v>
      </c>
      <c r="D866" s="1">
        <v>150</v>
      </c>
      <c r="E866" s="3">
        <v>600</v>
      </c>
      <c r="F866" s="90">
        <v>4</v>
      </c>
    </row>
    <row r="867" spans="1:6" x14ac:dyDescent="0.3">
      <c r="A867" s="1" t="s">
        <v>87</v>
      </c>
      <c r="B867" s="1" t="s">
        <v>184</v>
      </c>
      <c r="C867" s="1">
        <v>22</v>
      </c>
      <c r="D867" s="1">
        <v>68</v>
      </c>
      <c r="E867" s="3">
        <v>272</v>
      </c>
      <c r="F867" s="90">
        <v>4</v>
      </c>
    </row>
    <row r="868" spans="1:6" x14ac:dyDescent="0.3">
      <c r="A868" s="1" t="s">
        <v>87</v>
      </c>
      <c r="B868" s="1" t="s">
        <v>184</v>
      </c>
      <c r="C868" s="1">
        <v>25</v>
      </c>
      <c r="D868" s="1">
        <v>1</v>
      </c>
      <c r="E868" s="3">
        <v>2</v>
      </c>
      <c r="F868" s="90">
        <v>2</v>
      </c>
    </row>
    <row r="869" spans="1:6" x14ac:dyDescent="0.3">
      <c r="A869" s="1" t="s">
        <v>87</v>
      </c>
      <c r="B869" s="1" t="s">
        <v>183</v>
      </c>
      <c r="C869" s="1">
        <v>0</v>
      </c>
      <c r="D869" s="1">
        <v>7</v>
      </c>
      <c r="E869" s="3">
        <v>0</v>
      </c>
      <c r="F869" s="90">
        <v>0</v>
      </c>
    </row>
    <row r="870" spans="1:6" x14ac:dyDescent="0.3">
      <c r="A870" s="1" t="s">
        <v>87</v>
      </c>
      <c r="B870" s="1" t="s">
        <v>183</v>
      </c>
      <c r="C870" s="1">
        <v>31</v>
      </c>
      <c r="D870" s="1">
        <v>298</v>
      </c>
      <c r="E870" s="3">
        <v>2384</v>
      </c>
      <c r="F870" s="90">
        <v>8</v>
      </c>
    </row>
    <row r="871" spans="1:6" x14ac:dyDescent="0.3">
      <c r="A871" s="1" t="s">
        <v>87</v>
      </c>
      <c r="B871" s="1" t="s">
        <v>183</v>
      </c>
      <c r="C871" s="1">
        <v>32</v>
      </c>
      <c r="D871" s="1">
        <v>341</v>
      </c>
      <c r="E871" s="3">
        <v>3410</v>
      </c>
      <c r="F871" s="90">
        <v>10</v>
      </c>
    </row>
    <row r="872" spans="1:6" x14ac:dyDescent="0.3">
      <c r="A872" s="1" t="s">
        <v>87</v>
      </c>
      <c r="B872" s="1" t="s">
        <v>183</v>
      </c>
      <c r="C872" s="1">
        <v>33</v>
      </c>
      <c r="D872" s="1">
        <v>1</v>
      </c>
      <c r="E872" s="3">
        <v>2</v>
      </c>
      <c r="F872" s="90">
        <v>2</v>
      </c>
    </row>
    <row r="873" spans="1:6" x14ac:dyDescent="0.3">
      <c r="A873" s="1" t="s">
        <v>87</v>
      </c>
      <c r="B873" s="1" t="s">
        <v>183</v>
      </c>
      <c r="C873" s="1">
        <v>35</v>
      </c>
      <c r="D873" s="1">
        <v>3</v>
      </c>
      <c r="E873" s="3">
        <v>6</v>
      </c>
      <c r="F873" s="90">
        <v>2</v>
      </c>
    </row>
    <row r="874" spans="1:6" x14ac:dyDescent="0.3">
      <c r="A874" s="1" t="s">
        <v>87</v>
      </c>
      <c r="B874" s="1" t="s">
        <v>183</v>
      </c>
      <c r="C874" s="1">
        <v>36</v>
      </c>
      <c r="D874" s="1">
        <v>1</v>
      </c>
      <c r="E874" s="3">
        <v>15</v>
      </c>
      <c r="F874" s="90">
        <v>15</v>
      </c>
    </row>
    <row r="875" spans="1:6" x14ac:dyDescent="0.3">
      <c r="A875" s="1" t="s">
        <v>87</v>
      </c>
      <c r="B875" s="1" t="s">
        <v>159</v>
      </c>
      <c r="C875" s="1">
        <v>41</v>
      </c>
      <c r="D875" s="1">
        <v>2</v>
      </c>
      <c r="E875" s="3">
        <v>4</v>
      </c>
      <c r="F875" s="90">
        <v>2</v>
      </c>
    </row>
    <row r="876" spans="1:6" x14ac:dyDescent="0.3">
      <c r="A876" s="1" t="s">
        <v>87</v>
      </c>
      <c r="B876" s="1" t="s">
        <v>159</v>
      </c>
      <c r="C876" s="1">
        <v>42</v>
      </c>
      <c r="D876" s="1">
        <v>86</v>
      </c>
      <c r="E876" s="3">
        <v>172</v>
      </c>
      <c r="F876" s="90">
        <v>2</v>
      </c>
    </row>
    <row r="877" spans="1:6" x14ac:dyDescent="0.3">
      <c r="A877" s="1" t="s">
        <v>87</v>
      </c>
      <c r="B877" s="1" t="s">
        <v>5</v>
      </c>
      <c r="C877" s="1">
        <v>0</v>
      </c>
      <c r="D877" s="1">
        <v>14</v>
      </c>
      <c r="E877" s="3">
        <v>0</v>
      </c>
      <c r="F877" s="90">
        <v>0</v>
      </c>
    </row>
    <row r="878" spans="1:6" x14ac:dyDescent="0.3">
      <c r="A878" s="1" t="s">
        <v>87</v>
      </c>
      <c r="B878" s="1" t="s">
        <v>5</v>
      </c>
      <c r="C878" s="1">
        <v>10</v>
      </c>
      <c r="D878" s="1">
        <v>6</v>
      </c>
      <c r="E878" s="3">
        <v>0</v>
      </c>
      <c r="F878" s="90">
        <v>0</v>
      </c>
    </row>
    <row r="879" spans="1:6" x14ac:dyDescent="0.3">
      <c r="A879" s="1" t="s">
        <v>87</v>
      </c>
      <c r="B879" s="1" t="s">
        <v>5</v>
      </c>
      <c r="C879" s="1">
        <v>11</v>
      </c>
      <c r="D879" s="1">
        <v>186</v>
      </c>
      <c r="E879" s="3">
        <v>1674</v>
      </c>
      <c r="F879" s="90">
        <v>9</v>
      </c>
    </row>
    <row r="880" spans="1:6" x14ac:dyDescent="0.3">
      <c r="A880" s="1" t="s">
        <v>87</v>
      </c>
      <c r="B880" s="1" t="s">
        <v>5</v>
      </c>
      <c r="C880" s="1">
        <v>12</v>
      </c>
      <c r="D880" s="1">
        <v>155</v>
      </c>
      <c r="E880" s="3">
        <v>2325</v>
      </c>
      <c r="F880" s="90">
        <v>15</v>
      </c>
    </row>
    <row r="881" spans="1:6" x14ac:dyDescent="0.3">
      <c r="A881" s="1" t="s">
        <v>87</v>
      </c>
      <c r="B881" s="1" t="s">
        <v>5</v>
      </c>
      <c r="C881" s="1">
        <v>13</v>
      </c>
      <c r="D881" s="1">
        <v>13</v>
      </c>
      <c r="E881" s="3">
        <v>79.2</v>
      </c>
      <c r="F881" s="90">
        <v>6.0923076923076902</v>
      </c>
    </row>
    <row r="882" spans="1:6" x14ac:dyDescent="0.3">
      <c r="A882" s="1" t="s">
        <v>87</v>
      </c>
      <c r="B882" s="1" t="s">
        <v>5</v>
      </c>
      <c r="C882" s="1">
        <v>14</v>
      </c>
      <c r="D882" s="1">
        <v>2</v>
      </c>
      <c r="E882" s="3">
        <v>30</v>
      </c>
      <c r="F882" s="90">
        <v>15</v>
      </c>
    </row>
    <row r="883" spans="1:6" x14ac:dyDescent="0.3">
      <c r="A883" s="1" t="s">
        <v>87</v>
      </c>
      <c r="B883" s="1" t="s">
        <v>5</v>
      </c>
      <c r="C883" s="1">
        <v>15</v>
      </c>
      <c r="D883" s="1">
        <v>17</v>
      </c>
      <c r="E883" s="3">
        <v>75.5</v>
      </c>
      <c r="F883" s="90">
        <v>4.4411764705882399</v>
      </c>
    </row>
    <row r="884" spans="1:6" x14ac:dyDescent="0.3">
      <c r="A884" s="1" t="s">
        <v>88</v>
      </c>
      <c r="B884" s="1" t="s">
        <v>159</v>
      </c>
      <c r="C884" s="1">
        <v>42</v>
      </c>
      <c r="D884" s="1">
        <v>113</v>
      </c>
      <c r="E884" s="3">
        <v>226</v>
      </c>
      <c r="F884" s="90">
        <v>2</v>
      </c>
    </row>
    <row r="885" spans="1:6" x14ac:dyDescent="0.3">
      <c r="A885" s="1" t="s">
        <v>88</v>
      </c>
      <c r="B885" s="1" t="s">
        <v>5</v>
      </c>
      <c r="C885" s="1">
        <v>0</v>
      </c>
      <c r="D885" s="1">
        <v>500</v>
      </c>
      <c r="E885" s="3">
        <v>0</v>
      </c>
      <c r="F885" s="90">
        <v>0</v>
      </c>
    </row>
    <row r="886" spans="1:6" x14ac:dyDescent="0.3">
      <c r="A886" s="1" t="s">
        <v>88</v>
      </c>
      <c r="B886" s="1" t="s">
        <v>5</v>
      </c>
      <c r="C886" s="1">
        <v>10</v>
      </c>
      <c r="D886" s="1">
        <v>1</v>
      </c>
      <c r="E886" s="3">
        <v>0</v>
      </c>
      <c r="F886" s="90">
        <v>0</v>
      </c>
    </row>
    <row r="887" spans="1:6" x14ac:dyDescent="0.3">
      <c r="A887" s="1" t="s">
        <v>88</v>
      </c>
      <c r="B887" s="1" t="s">
        <v>5</v>
      </c>
      <c r="C887" s="1">
        <v>11</v>
      </c>
      <c r="D887" s="1">
        <v>514</v>
      </c>
      <c r="E887" s="3">
        <v>2570</v>
      </c>
      <c r="F887" s="90">
        <v>5</v>
      </c>
    </row>
    <row r="888" spans="1:6" x14ac:dyDescent="0.3">
      <c r="A888" s="1" t="s">
        <v>88</v>
      </c>
      <c r="B888" s="1" t="s">
        <v>5</v>
      </c>
      <c r="C888" s="1">
        <v>12</v>
      </c>
      <c r="D888" s="1">
        <v>1304</v>
      </c>
      <c r="E888" s="3">
        <v>7824</v>
      </c>
      <c r="F888" s="90">
        <v>6</v>
      </c>
    </row>
    <row r="889" spans="1:6" x14ac:dyDescent="0.3">
      <c r="A889" s="1" t="s">
        <v>88</v>
      </c>
      <c r="B889" s="1" t="s">
        <v>5</v>
      </c>
      <c r="C889" s="1">
        <v>13</v>
      </c>
      <c r="D889" s="1">
        <v>16</v>
      </c>
      <c r="E889" s="3">
        <v>42.6</v>
      </c>
      <c r="F889" s="90">
        <v>2.6625000000000001</v>
      </c>
    </row>
    <row r="890" spans="1:6" x14ac:dyDescent="0.3">
      <c r="A890" s="1" t="s">
        <v>88</v>
      </c>
      <c r="B890" s="1" t="s">
        <v>5</v>
      </c>
      <c r="C890" s="1">
        <v>14</v>
      </c>
      <c r="D890" s="1">
        <v>25</v>
      </c>
      <c r="E890" s="3">
        <v>239.5</v>
      </c>
      <c r="F890" s="90">
        <v>9.58</v>
      </c>
    </row>
    <row r="891" spans="1:6" x14ac:dyDescent="0.3">
      <c r="A891" s="1" t="s">
        <v>88</v>
      </c>
      <c r="B891" s="1" t="s">
        <v>5</v>
      </c>
      <c r="C891" s="1">
        <v>15</v>
      </c>
      <c r="D891" s="1">
        <v>83</v>
      </c>
      <c r="E891" s="3">
        <v>369</v>
      </c>
      <c r="F891" s="90">
        <v>4.4457831325301198</v>
      </c>
    </row>
    <row r="892" spans="1:6" x14ac:dyDescent="0.3">
      <c r="A892" s="1" t="s">
        <v>88</v>
      </c>
      <c r="B892" s="1" t="s">
        <v>5</v>
      </c>
      <c r="C892" s="1">
        <v>16</v>
      </c>
      <c r="D892" s="1">
        <v>17</v>
      </c>
      <c r="E892" s="3">
        <v>334.5</v>
      </c>
      <c r="F892" s="90">
        <v>19.676470588235301</v>
      </c>
    </row>
    <row r="893" spans="1:6" x14ac:dyDescent="0.3">
      <c r="A893" s="1" t="s">
        <v>89</v>
      </c>
      <c r="B893" s="1" t="s">
        <v>159</v>
      </c>
      <c r="C893" s="1">
        <v>42</v>
      </c>
      <c r="D893" s="1">
        <v>367</v>
      </c>
      <c r="E893" s="3">
        <v>734</v>
      </c>
      <c r="F893" s="90">
        <v>2</v>
      </c>
    </row>
    <row r="894" spans="1:6" x14ac:dyDescent="0.3">
      <c r="A894" s="1" t="s">
        <v>89</v>
      </c>
      <c r="B894" s="1" t="s">
        <v>5</v>
      </c>
      <c r="C894" s="1">
        <v>0</v>
      </c>
      <c r="D894" s="1">
        <v>448</v>
      </c>
      <c r="E894" s="3">
        <v>0</v>
      </c>
      <c r="F894" s="90">
        <v>0</v>
      </c>
    </row>
    <row r="895" spans="1:6" x14ac:dyDescent="0.3">
      <c r="A895" s="1" t="s">
        <v>89</v>
      </c>
      <c r="B895" s="1" t="s">
        <v>5</v>
      </c>
      <c r="C895" s="1">
        <v>11</v>
      </c>
      <c r="D895" s="1">
        <v>1139</v>
      </c>
      <c r="E895" s="3">
        <v>6834</v>
      </c>
      <c r="F895" s="90">
        <v>6</v>
      </c>
    </row>
    <row r="896" spans="1:6" x14ac:dyDescent="0.3">
      <c r="A896" s="1" t="s">
        <v>89</v>
      </c>
      <c r="B896" s="1" t="s">
        <v>5</v>
      </c>
      <c r="C896" s="1">
        <v>12</v>
      </c>
      <c r="D896" s="1">
        <v>2188</v>
      </c>
      <c r="E896" s="3">
        <v>15316</v>
      </c>
      <c r="F896" s="90">
        <v>7</v>
      </c>
    </row>
    <row r="897" spans="1:6" x14ac:dyDescent="0.3">
      <c r="A897" s="1" t="s">
        <v>89</v>
      </c>
      <c r="B897" s="1" t="s">
        <v>5</v>
      </c>
      <c r="C897" s="1">
        <v>13</v>
      </c>
      <c r="D897" s="1">
        <v>220</v>
      </c>
      <c r="E897" s="3">
        <v>1071.2</v>
      </c>
      <c r="F897" s="90">
        <v>4.86909090909091</v>
      </c>
    </row>
    <row r="898" spans="1:6" x14ac:dyDescent="0.3">
      <c r="A898" s="1" t="s">
        <v>89</v>
      </c>
      <c r="B898" s="1" t="s">
        <v>5</v>
      </c>
      <c r="C898" s="1">
        <v>14</v>
      </c>
      <c r="D898" s="1">
        <v>30</v>
      </c>
      <c r="E898" s="3">
        <v>378</v>
      </c>
      <c r="F898" s="90">
        <v>12.6</v>
      </c>
    </row>
    <row r="899" spans="1:6" x14ac:dyDescent="0.3">
      <c r="A899" s="1" t="s">
        <v>89</v>
      </c>
      <c r="B899" s="1" t="s">
        <v>5</v>
      </c>
      <c r="C899" s="1">
        <v>15</v>
      </c>
      <c r="D899" s="1">
        <v>361</v>
      </c>
      <c r="E899" s="3">
        <v>1775</v>
      </c>
      <c r="F899" s="90">
        <v>4.9168975069252099</v>
      </c>
    </row>
    <row r="900" spans="1:6" x14ac:dyDescent="0.3">
      <c r="A900" s="1" t="s">
        <v>89</v>
      </c>
      <c r="B900" s="1" t="s">
        <v>5</v>
      </c>
      <c r="C900" s="1">
        <v>16</v>
      </c>
      <c r="D900" s="1">
        <v>13</v>
      </c>
      <c r="E900" s="3">
        <v>158.80000000000001</v>
      </c>
      <c r="F900" s="90">
        <v>12.2153846153846</v>
      </c>
    </row>
    <row r="901" spans="1:6" x14ac:dyDescent="0.3">
      <c r="A901" s="1" t="s">
        <v>90</v>
      </c>
      <c r="B901" s="1" t="s">
        <v>159</v>
      </c>
      <c r="C901" s="1">
        <v>42</v>
      </c>
      <c r="D901" s="1">
        <v>15</v>
      </c>
      <c r="E901" s="3">
        <v>30</v>
      </c>
      <c r="F901" s="90">
        <v>2</v>
      </c>
    </row>
    <row r="902" spans="1:6" x14ac:dyDescent="0.3">
      <c r="A902" s="1" t="s">
        <v>90</v>
      </c>
      <c r="B902" s="1" t="s">
        <v>5</v>
      </c>
      <c r="C902" s="1">
        <v>0</v>
      </c>
      <c r="D902" s="1">
        <v>85</v>
      </c>
      <c r="E902" s="3">
        <v>0</v>
      </c>
      <c r="F902" s="90">
        <v>0</v>
      </c>
    </row>
    <row r="903" spans="1:6" x14ac:dyDescent="0.3">
      <c r="A903" s="1" t="s">
        <v>90</v>
      </c>
      <c r="B903" s="1" t="s">
        <v>5</v>
      </c>
      <c r="C903" s="1">
        <v>11</v>
      </c>
      <c r="D903" s="1">
        <v>457</v>
      </c>
      <c r="E903" s="3">
        <v>2285</v>
      </c>
      <c r="F903" s="90">
        <v>5</v>
      </c>
    </row>
    <row r="904" spans="1:6" x14ac:dyDescent="0.3">
      <c r="A904" s="1" t="s">
        <v>90</v>
      </c>
      <c r="B904" s="1" t="s">
        <v>5</v>
      </c>
      <c r="C904" s="1">
        <v>12</v>
      </c>
      <c r="D904" s="1">
        <v>969</v>
      </c>
      <c r="E904" s="3">
        <v>5814</v>
      </c>
      <c r="F904" s="90">
        <v>6</v>
      </c>
    </row>
    <row r="905" spans="1:6" x14ac:dyDescent="0.3">
      <c r="A905" s="1" t="s">
        <v>90</v>
      </c>
      <c r="B905" s="1" t="s">
        <v>5</v>
      </c>
      <c r="C905" s="1">
        <v>13</v>
      </c>
      <c r="D905" s="1">
        <v>7</v>
      </c>
      <c r="E905" s="3">
        <v>17</v>
      </c>
      <c r="F905" s="90">
        <v>2.4285714285714302</v>
      </c>
    </row>
    <row r="906" spans="1:6" x14ac:dyDescent="0.3">
      <c r="A906" s="1" t="s">
        <v>90</v>
      </c>
      <c r="B906" s="1" t="s">
        <v>5</v>
      </c>
      <c r="C906" s="1">
        <v>14</v>
      </c>
      <c r="D906" s="1">
        <v>11</v>
      </c>
      <c r="E906" s="3">
        <v>98.5</v>
      </c>
      <c r="F906" s="90">
        <v>8.9545454545454604</v>
      </c>
    </row>
    <row r="907" spans="1:6" x14ac:dyDescent="0.3">
      <c r="A907" s="1" t="s">
        <v>90</v>
      </c>
      <c r="B907" s="1" t="s">
        <v>5</v>
      </c>
      <c r="C907" s="1">
        <v>15</v>
      </c>
      <c r="D907" s="1">
        <v>41</v>
      </c>
      <c r="E907" s="3">
        <v>178</v>
      </c>
      <c r="F907" s="90">
        <v>4.3414634146341502</v>
      </c>
    </row>
    <row r="908" spans="1:6" x14ac:dyDescent="0.3">
      <c r="A908" s="1" t="s">
        <v>90</v>
      </c>
      <c r="B908" s="1" t="s">
        <v>5</v>
      </c>
      <c r="C908" s="1">
        <v>16</v>
      </c>
      <c r="D908" s="1">
        <v>5</v>
      </c>
      <c r="E908" s="3">
        <v>70.5</v>
      </c>
      <c r="F908" s="90">
        <v>14.1</v>
      </c>
    </row>
    <row r="909" spans="1:6" x14ac:dyDescent="0.3">
      <c r="A909" s="1" t="s">
        <v>91</v>
      </c>
      <c r="B909" s="1" t="s">
        <v>159</v>
      </c>
      <c r="C909" s="1">
        <v>41</v>
      </c>
      <c r="D909" s="1">
        <v>2</v>
      </c>
      <c r="E909" s="3">
        <v>4</v>
      </c>
      <c r="F909" s="90">
        <v>2</v>
      </c>
    </row>
    <row r="910" spans="1:6" x14ac:dyDescent="0.3">
      <c r="A910" s="1" t="s">
        <v>91</v>
      </c>
      <c r="B910" s="1" t="s">
        <v>159</v>
      </c>
      <c r="C910" s="1">
        <v>42</v>
      </c>
      <c r="D910" s="1">
        <v>1067</v>
      </c>
      <c r="E910" s="3">
        <v>2134</v>
      </c>
      <c r="F910" s="90">
        <v>2</v>
      </c>
    </row>
    <row r="911" spans="1:6" x14ac:dyDescent="0.3">
      <c r="A911" s="1" t="s">
        <v>91</v>
      </c>
      <c r="B911" s="1" t="s">
        <v>5</v>
      </c>
      <c r="C911" s="1">
        <v>0</v>
      </c>
      <c r="D911" s="1">
        <v>3874</v>
      </c>
      <c r="E911" s="3">
        <v>0</v>
      </c>
      <c r="F911" s="90">
        <v>0</v>
      </c>
    </row>
    <row r="912" spans="1:6" x14ac:dyDescent="0.3">
      <c r="A912" s="1" t="s">
        <v>91</v>
      </c>
      <c r="B912" s="1" t="s">
        <v>5</v>
      </c>
      <c r="C912" s="1">
        <v>10</v>
      </c>
      <c r="D912" s="1">
        <v>5</v>
      </c>
      <c r="E912" s="3">
        <v>0</v>
      </c>
      <c r="F912" s="90">
        <v>0</v>
      </c>
    </row>
    <row r="913" spans="1:6" x14ac:dyDescent="0.3">
      <c r="A913" s="1" t="s">
        <v>91</v>
      </c>
      <c r="B913" s="1" t="s">
        <v>5</v>
      </c>
      <c r="C913" s="1">
        <v>11</v>
      </c>
      <c r="D913" s="1">
        <v>11754</v>
      </c>
      <c r="E913" s="3">
        <v>70524</v>
      </c>
      <c r="F913" s="90">
        <v>6</v>
      </c>
    </row>
    <row r="914" spans="1:6" x14ac:dyDescent="0.3">
      <c r="A914" s="1" t="s">
        <v>91</v>
      </c>
      <c r="B914" s="1" t="s">
        <v>5</v>
      </c>
      <c r="C914" s="1">
        <v>12</v>
      </c>
      <c r="D914" s="1">
        <v>21281</v>
      </c>
      <c r="E914" s="3">
        <v>148967</v>
      </c>
      <c r="F914" s="90">
        <v>7</v>
      </c>
    </row>
    <row r="915" spans="1:6" x14ac:dyDescent="0.3">
      <c r="A915" s="1" t="s">
        <v>91</v>
      </c>
      <c r="B915" s="1" t="s">
        <v>5</v>
      </c>
      <c r="C915" s="1">
        <v>13</v>
      </c>
      <c r="D915" s="1">
        <v>1875</v>
      </c>
      <c r="E915" s="3">
        <v>7178.9</v>
      </c>
      <c r="F915" s="90">
        <v>3.8287466666666701</v>
      </c>
    </row>
    <row r="916" spans="1:6" x14ac:dyDescent="0.3">
      <c r="A916" s="1" t="s">
        <v>91</v>
      </c>
      <c r="B916" s="1" t="s">
        <v>5</v>
      </c>
      <c r="C916" s="1">
        <v>14</v>
      </c>
      <c r="D916" s="1">
        <v>430</v>
      </c>
      <c r="E916" s="3">
        <v>5348.8</v>
      </c>
      <c r="F916" s="90">
        <v>12.4390697674419</v>
      </c>
    </row>
    <row r="917" spans="1:6" x14ac:dyDescent="0.3">
      <c r="A917" s="1" t="s">
        <v>91</v>
      </c>
      <c r="B917" s="1" t="s">
        <v>5</v>
      </c>
      <c r="C917" s="1">
        <v>15</v>
      </c>
      <c r="D917" s="1">
        <v>1815</v>
      </c>
      <c r="E917" s="3">
        <v>7329.00000000004</v>
      </c>
      <c r="F917" s="90">
        <v>4.03801652892564</v>
      </c>
    </row>
    <row r="918" spans="1:6" x14ac:dyDescent="0.3">
      <c r="A918" s="1" t="s">
        <v>91</v>
      </c>
      <c r="B918" s="1" t="s">
        <v>5</v>
      </c>
      <c r="C918" s="1">
        <v>16</v>
      </c>
      <c r="D918" s="1">
        <v>686</v>
      </c>
      <c r="E918" s="3">
        <v>8367.4</v>
      </c>
      <c r="F918" s="90">
        <v>12.197376093294499</v>
      </c>
    </row>
    <row r="919" spans="1:6" x14ac:dyDescent="0.3">
      <c r="A919" s="1" t="s">
        <v>92</v>
      </c>
      <c r="B919" s="1" t="s">
        <v>159</v>
      </c>
      <c r="C919" s="1">
        <v>42</v>
      </c>
      <c r="D919" s="1">
        <v>32</v>
      </c>
      <c r="E919" s="3">
        <v>64</v>
      </c>
      <c r="F919" s="90">
        <v>2</v>
      </c>
    </row>
    <row r="920" spans="1:6" x14ac:dyDescent="0.3">
      <c r="A920" s="1" t="s">
        <v>92</v>
      </c>
      <c r="B920" s="1" t="s">
        <v>5</v>
      </c>
      <c r="C920" s="1">
        <v>0</v>
      </c>
      <c r="D920" s="1">
        <v>215</v>
      </c>
      <c r="E920" s="3">
        <v>0</v>
      </c>
      <c r="F920" s="90">
        <v>0</v>
      </c>
    </row>
    <row r="921" spans="1:6" x14ac:dyDescent="0.3">
      <c r="A921" s="1" t="s">
        <v>92</v>
      </c>
      <c r="B921" s="1" t="s">
        <v>5</v>
      </c>
      <c r="C921" s="1">
        <v>11</v>
      </c>
      <c r="D921" s="1">
        <v>1280</v>
      </c>
      <c r="E921" s="3">
        <v>7680</v>
      </c>
      <c r="F921" s="90">
        <v>6</v>
      </c>
    </row>
    <row r="922" spans="1:6" x14ac:dyDescent="0.3">
      <c r="A922" s="1" t="s">
        <v>92</v>
      </c>
      <c r="B922" s="1" t="s">
        <v>5</v>
      </c>
      <c r="C922" s="1">
        <v>12</v>
      </c>
      <c r="D922" s="1">
        <v>3650</v>
      </c>
      <c r="E922" s="3">
        <v>21900</v>
      </c>
      <c r="F922" s="90">
        <v>6</v>
      </c>
    </row>
    <row r="923" spans="1:6" x14ac:dyDescent="0.3">
      <c r="A923" s="1" t="s">
        <v>92</v>
      </c>
      <c r="B923" s="1" t="s">
        <v>5</v>
      </c>
      <c r="C923" s="1">
        <v>13</v>
      </c>
      <c r="D923" s="1">
        <v>559</v>
      </c>
      <c r="E923" s="3">
        <v>2775.1</v>
      </c>
      <c r="F923" s="90">
        <v>4.9644007155635101</v>
      </c>
    </row>
    <row r="924" spans="1:6" x14ac:dyDescent="0.3">
      <c r="A924" s="1" t="s">
        <v>92</v>
      </c>
      <c r="B924" s="1" t="s">
        <v>5</v>
      </c>
      <c r="C924" s="1">
        <v>14</v>
      </c>
      <c r="D924" s="1">
        <v>19</v>
      </c>
      <c r="E924" s="3">
        <v>199.5</v>
      </c>
      <c r="F924" s="90">
        <v>10.5</v>
      </c>
    </row>
    <row r="925" spans="1:6" x14ac:dyDescent="0.3">
      <c r="A925" s="1" t="s">
        <v>92</v>
      </c>
      <c r="B925" s="1" t="s">
        <v>5</v>
      </c>
      <c r="C925" s="1">
        <v>15</v>
      </c>
      <c r="D925" s="1">
        <v>1158</v>
      </c>
      <c r="E925" s="3">
        <v>5718.6</v>
      </c>
      <c r="F925" s="90">
        <v>4.9383419689119199</v>
      </c>
    </row>
    <row r="926" spans="1:6" x14ac:dyDescent="0.3">
      <c r="A926" s="1" t="s">
        <v>92</v>
      </c>
      <c r="B926" s="1" t="s">
        <v>5</v>
      </c>
      <c r="C926" s="1">
        <v>16</v>
      </c>
      <c r="D926" s="1">
        <v>20</v>
      </c>
      <c r="E926" s="3">
        <v>184.7</v>
      </c>
      <c r="F926" s="90">
        <v>9.2349999999999994</v>
      </c>
    </row>
    <row r="927" spans="1:6" x14ac:dyDescent="0.3">
      <c r="A927" s="1" t="s">
        <v>93</v>
      </c>
      <c r="B927" s="1" t="s">
        <v>5</v>
      </c>
      <c r="C927" s="1">
        <v>0</v>
      </c>
      <c r="D927" s="1">
        <v>64</v>
      </c>
      <c r="E927" s="3">
        <v>0</v>
      </c>
      <c r="F927" s="90">
        <v>0</v>
      </c>
    </row>
    <row r="928" spans="1:6" x14ac:dyDescent="0.3">
      <c r="A928" s="1" t="s">
        <v>93</v>
      </c>
      <c r="B928" s="1" t="s">
        <v>5</v>
      </c>
      <c r="C928" s="1">
        <v>11</v>
      </c>
      <c r="D928" s="1">
        <v>450</v>
      </c>
      <c r="E928" s="3">
        <v>1800</v>
      </c>
      <c r="F928" s="90">
        <v>4</v>
      </c>
    </row>
    <row r="929" spans="1:6" x14ac:dyDescent="0.3">
      <c r="A929" s="1" t="s">
        <v>93</v>
      </c>
      <c r="B929" s="1" t="s">
        <v>5</v>
      </c>
      <c r="C929" s="1">
        <v>12</v>
      </c>
      <c r="D929" s="1">
        <v>2181</v>
      </c>
      <c r="E929" s="3">
        <v>10905</v>
      </c>
      <c r="F929" s="90">
        <v>5</v>
      </c>
    </row>
    <row r="930" spans="1:6" x14ac:dyDescent="0.3">
      <c r="A930" s="1" t="s">
        <v>93</v>
      </c>
      <c r="B930" s="1" t="s">
        <v>5</v>
      </c>
      <c r="C930" s="1">
        <v>13</v>
      </c>
      <c r="D930" s="1">
        <v>1</v>
      </c>
      <c r="E930" s="3">
        <v>3</v>
      </c>
      <c r="F930" s="90">
        <v>3</v>
      </c>
    </row>
    <row r="931" spans="1:6" x14ac:dyDescent="0.3">
      <c r="A931" s="1" t="s">
        <v>93</v>
      </c>
      <c r="B931" s="1" t="s">
        <v>5</v>
      </c>
      <c r="C931" s="1">
        <v>14</v>
      </c>
      <c r="D931" s="1">
        <v>4</v>
      </c>
      <c r="E931" s="3">
        <v>20.3</v>
      </c>
      <c r="F931" s="90">
        <v>5.0750000000000002</v>
      </c>
    </row>
    <row r="932" spans="1:6" x14ac:dyDescent="0.3">
      <c r="A932" s="1" t="s">
        <v>93</v>
      </c>
      <c r="B932" s="1" t="s">
        <v>5</v>
      </c>
      <c r="C932" s="1">
        <v>15</v>
      </c>
      <c r="D932" s="1">
        <v>18</v>
      </c>
      <c r="E932" s="3">
        <v>66.599999999999994</v>
      </c>
      <c r="F932" s="90">
        <v>3.7</v>
      </c>
    </row>
    <row r="933" spans="1:6" x14ac:dyDescent="0.3">
      <c r="A933" s="1" t="s">
        <v>93</v>
      </c>
      <c r="B933" s="1" t="s">
        <v>5</v>
      </c>
      <c r="C933" s="1">
        <v>16</v>
      </c>
      <c r="D933" s="1">
        <v>41</v>
      </c>
      <c r="E933" s="3">
        <v>286.89999999999998</v>
      </c>
      <c r="F933" s="90">
        <v>6.9975609756097601</v>
      </c>
    </row>
    <row r="934" spans="1:6" x14ac:dyDescent="0.3">
      <c r="A934" s="1" t="s">
        <v>94</v>
      </c>
      <c r="B934" s="1" t="s">
        <v>159</v>
      </c>
      <c r="C934" s="1">
        <v>42</v>
      </c>
      <c r="D934" s="1">
        <v>2</v>
      </c>
      <c r="E934" s="3">
        <v>4</v>
      </c>
      <c r="F934" s="90">
        <v>2</v>
      </c>
    </row>
    <row r="935" spans="1:6" x14ac:dyDescent="0.3">
      <c r="A935" s="1" t="s">
        <v>94</v>
      </c>
      <c r="B935" s="1" t="s">
        <v>5</v>
      </c>
      <c r="C935" s="1">
        <v>0</v>
      </c>
      <c r="D935" s="1">
        <v>1398</v>
      </c>
      <c r="E935" s="3">
        <v>0</v>
      </c>
      <c r="F935" s="90">
        <v>0</v>
      </c>
    </row>
    <row r="936" spans="1:6" x14ac:dyDescent="0.3">
      <c r="A936" s="1" t="s">
        <v>94</v>
      </c>
      <c r="B936" s="1" t="s">
        <v>5</v>
      </c>
      <c r="C936" s="1">
        <v>10</v>
      </c>
      <c r="D936" s="1">
        <v>9</v>
      </c>
      <c r="E936" s="3">
        <v>0</v>
      </c>
      <c r="F936" s="90">
        <v>0</v>
      </c>
    </row>
    <row r="937" spans="1:6" x14ac:dyDescent="0.3">
      <c r="A937" s="1" t="s">
        <v>94</v>
      </c>
      <c r="B937" s="1" t="s">
        <v>5</v>
      </c>
      <c r="C937" s="1">
        <v>11</v>
      </c>
      <c r="D937" s="1">
        <v>6376</v>
      </c>
      <c r="E937" s="3">
        <v>51008</v>
      </c>
      <c r="F937" s="90">
        <v>8</v>
      </c>
    </row>
    <row r="938" spans="1:6" x14ac:dyDescent="0.3">
      <c r="A938" s="1" t="s">
        <v>94</v>
      </c>
      <c r="B938" s="1" t="s">
        <v>5</v>
      </c>
      <c r="C938" s="1">
        <v>12</v>
      </c>
      <c r="D938" s="1">
        <v>4341</v>
      </c>
      <c r="E938" s="3">
        <v>60774</v>
      </c>
      <c r="F938" s="90">
        <v>14</v>
      </c>
    </row>
    <row r="939" spans="1:6" x14ac:dyDescent="0.3">
      <c r="A939" s="1" t="s">
        <v>94</v>
      </c>
      <c r="B939" s="1" t="s">
        <v>5</v>
      </c>
      <c r="C939" s="1">
        <v>13</v>
      </c>
      <c r="D939" s="1">
        <v>557</v>
      </c>
      <c r="E939" s="3">
        <v>2385.6</v>
      </c>
      <c r="F939" s="90">
        <v>4.2829443447037701</v>
      </c>
    </row>
    <row r="940" spans="1:6" x14ac:dyDescent="0.3">
      <c r="A940" s="1" t="s">
        <v>94</v>
      </c>
      <c r="B940" s="1" t="s">
        <v>5</v>
      </c>
      <c r="C940" s="1">
        <v>14</v>
      </c>
      <c r="D940" s="1">
        <v>695</v>
      </c>
      <c r="E940" s="3">
        <v>11563.4</v>
      </c>
      <c r="F940" s="90">
        <v>16.6379856115108</v>
      </c>
    </row>
    <row r="941" spans="1:6" x14ac:dyDescent="0.3">
      <c r="A941" s="1" t="s">
        <v>94</v>
      </c>
      <c r="B941" s="1" t="s">
        <v>5</v>
      </c>
      <c r="C941" s="1">
        <v>15</v>
      </c>
      <c r="D941" s="1">
        <v>613</v>
      </c>
      <c r="E941" s="3">
        <v>4158.3999999999996</v>
      </c>
      <c r="F941" s="90">
        <v>6.7836867862968999</v>
      </c>
    </row>
    <row r="942" spans="1:6" x14ac:dyDescent="0.3">
      <c r="A942" s="1" t="s">
        <v>94</v>
      </c>
      <c r="B942" s="1" t="s">
        <v>5</v>
      </c>
      <c r="C942" s="1">
        <v>16</v>
      </c>
      <c r="D942" s="1">
        <v>210</v>
      </c>
      <c r="E942" s="3">
        <v>6219.1</v>
      </c>
      <c r="F942" s="90">
        <v>29.614761904761899</v>
      </c>
    </row>
    <row r="943" spans="1:6" x14ac:dyDescent="0.3">
      <c r="A943" s="1" t="s">
        <v>95</v>
      </c>
      <c r="B943" s="1" t="s">
        <v>184</v>
      </c>
      <c r="C943" s="1">
        <v>0</v>
      </c>
      <c r="D943" s="1">
        <v>17</v>
      </c>
      <c r="E943" s="3">
        <v>0</v>
      </c>
      <c r="F943" s="90">
        <v>0</v>
      </c>
    </row>
    <row r="944" spans="1:6" x14ac:dyDescent="0.3">
      <c r="A944" s="1" t="s">
        <v>95</v>
      </c>
      <c r="B944" s="1" t="s">
        <v>184</v>
      </c>
      <c r="C944" s="1">
        <v>21</v>
      </c>
      <c r="D944" s="1">
        <v>316</v>
      </c>
      <c r="E944" s="3">
        <v>1264</v>
      </c>
      <c r="F944" s="90">
        <v>4</v>
      </c>
    </row>
    <row r="945" spans="1:6" x14ac:dyDescent="0.3">
      <c r="A945" s="1" t="s">
        <v>95</v>
      </c>
      <c r="B945" s="1" t="s">
        <v>184</v>
      </c>
      <c r="C945" s="1">
        <v>22</v>
      </c>
      <c r="D945" s="1">
        <v>226</v>
      </c>
      <c r="E945" s="3">
        <v>904</v>
      </c>
      <c r="F945" s="90">
        <v>4</v>
      </c>
    </row>
    <row r="946" spans="1:6" x14ac:dyDescent="0.3">
      <c r="A946" s="1" t="s">
        <v>95</v>
      </c>
      <c r="B946" s="1" t="s">
        <v>184</v>
      </c>
      <c r="C946" s="1">
        <v>24</v>
      </c>
      <c r="D946" s="1">
        <v>3</v>
      </c>
      <c r="E946" s="3">
        <v>24</v>
      </c>
      <c r="F946" s="90">
        <v>8</v>
      </c>
    </row>
    <row r="947" spans="1:6" x14ac:dyDescent="0.3">
      <c r="A947" s="1" t="s">
        <v>95</v>
      </c>
      <c r="B947" s="1" t="s">
        <v>184</v>
      </c>
      <c r="C947" s="1">
        <v>25</v>
      </c>
      <c r="D947" s="1">
        <v>5</v>
      </c>
      <c r="E947" s="3">
        <v>10</v>
      </c>
      <c r="F947" s="90">
        <v>2</v>
      </c>
    </row>
    <row r="948" spans="1:6" x14ac:dyDescent="0.3">
      <c r="A948" s="1" t="s">
        <v>95</v>
      </c>
      <c r="B948" s="1" t="s">
        <v>184</v>
      </c>
      <c r="C948" s="1">
        <v>26</v>
      </c>
      <c r="D948" s="1">
        <v>2</v>
      </c>
      <c r="E948" s="3">
        <v>18</v>
      </c>
      <c r="F948" s="90">
        <v>9</v>
      </c>
    </row>
    <row r="949" spans="1:6" x14ac:dyDescent="0.3">
      <c r="A949" s="1" t="s">
        <v>95</v>
      </c>
      <c r="B949" s="1" t="s">
        <v>183</v>
      </c>
      <c r="C949" s="1">
        <v>0</v>
      </c>
      <c r="D949" s="1">
        <v>9</v>
      </c>
      <c r="E949" s="3">
        <v>0</v>
      </c>
      <c r="F949" s="90">
        <v>0</v>
      </c>
    </row>
    <row r="950" spans="1:6" x14ac:dyDescent="0.3">
      <c r="A950" s="1" t="s">
        <v>95</v>
      </c>
      <c r="B950" s="1" t="s">
        <v>183</v>
      </c>
      <c r="C950" s="1">
        <v>31</v>
      </c>
      <c r="D950" s="1">
        <v>408</v>
      </c>
      <c r="E950" s="3">
        <v>3264</v>
      </c>
      <c r="F950" s="90">
        <v>8</v>
      </c>
    </row>
    <row r="951" spans="1:6" x14ac:dyDescent="0.3">
      <c r="A951" s="1" t="s">
        <v>95</v>
      </c>
      <c r="B951" s="1" t="s">
        <v>183</v>
      </c>
      <c r="C951" s="1">
        <v>32</v>
      </c>
      <c r="D951" s="1">
        <v>236</v>
      </c>
      <c r="E951" s="3">
        <v>2360</v>
      </c>
      <c r="F951" s="90">
        <v>10</v>
      </c>
    </row>
    <row r="952" spans="1:6" x14ac:dyDescent="0.3">
      <c r="A952" s="1" t="s">
        <v>95</v>
      </c>
      <c r="B952" s="1" t="s">
        <v>183</v>
      </c>
      <c r="C952" s="1">
        <v>35</v>
      </c>
      <c r="D952" s="1">
        <v>40</v>
      </c>
      <c r="E952" s="3">
        <v>217</v>
      </c>
      <c r="F952" s="90">
        <v>5.4249999999999998</v>
      </c>
    </row>
    <row r="953" spans="1:6" x14ac:dyDescent="0.3">
      <c r="A953" s="1" t="s">
        <v>95</v>
      </c>
      <c r="B953" s="1" t="s">
        <v>183</v>
      </c>
      <c r="C953" s="1">
        <v>36</v>
      </c>
      <c r="D953" s="1">
        <v>1</v>
      </c>
      <c r="E953" s="3">
        <v>12</v>
      </c>
      <c r="F953" s="90">
        <v>12</v>
      </c>
    </row>
    <row r="954" spans="1:6" x14ac:dyDescent="0.3">
      <c r="A954" s="1" t="s">
        <v>95</v>
      </c>
      <c r="B954" s="1" t="s">
        <v>159</v>
      </c>
      <c r="C954" s="1">
        <v>41</v>
      </c>
      <c r="D954" s="1">
        <v>2</v>
      </c>
      <c r="E954" s="3">
        <v>4</v>
      </c>
      <c r="F954" s="90">
        <v>2</v>
      </c>
    </row>
    <row r="955" spans="1:6" x14ac:dyDescent="0.3">
      <c r="A955" s="1" t="s">
        <v>95</v>
      </c>
      <c r="B955" s="1" t="s">
        <v>159</v>
      </c>
      <c r="C955" s="1">
        <v>42</v>
      </c>
      <c r="D955" s="1">
        <v>429</v>
      </c>
      <c r="E955" s="3">
        <v>858</v>
      </c>
      <c r="F955" s="90">
        <v>2</v>
      </c>
    </row>
    <row r="956" spans="1:6" x14ac:dyDescent="0.3">
      <c r="A956" s="1" t="s">
        <v>95</v>
      </c>
      <c r="B956" s="1" t="s">
        <v>5</v>
      </c>
      <c r="C956" s="1">
        <v>0</v>
      </c>
      <c r="D956" s="1">
        <v>935</v>
      </c>
      <c r="E956" s="3">
        <v>0</v>
      </c>
      <c r="F956" s="90">
        <v>0</v>
      </c>
    </row>
    <row r="957" spans="1:6" x14ac:dyDescent="0.3">
      <c r="A957" s="1" t="s">
        <v>95</v>
      </c>
      <c r="B957" s="1" t="s">
        <v>5</v>
      </c>
      <c r="C957" s="1">
        <v>10</v>
      </c>
      <c r="D957" s="1">
        <v>1</v>
      </c>
      <c r="E957" s="3">
        <v>0</v>
      </c>
      <c r="F957" s="90">
        <v>0</v>
      </c>
    </row>
    <row r="958" spans="1:6" x14ac:dyDescent="0.3">
      <c r="A958" s="1" t="s">
        <v>95</v>
      </c>
      <c r="B958" s="1" t="s">
        <v>5</v>
      </c>
      <c r="C958" s="1">
        <v>11</v>
      </c>
      <c r="D958" s="1">
        <v>3902</v>
      </c>
      <c r="E958" s="3">
        <v>31216</v>
      </c>
      <c r="F958" s="90">
        <v>8</v>
      </c>
    </row>
    <row r="959" spans="1:6" x14ac:dyDescent="0.3">
      <c r="A959" s="1" t="s">
        <v>95</v>
      </c>
      <c r="B959" s="1" t="s">
        <v>5</v>
      </c>
      <c r="C959" s="1">
        <v>12</v>
      </c>
      <c r="D959" s="1">
        <v>2365</v>
      </c>
      <c r="E959" s="3">
        <v>18920</v>
      </c>
      <c r="F959" s="90">
        <v>8</v>
      </c>
    </row>
    <row r="960" spans="1:6" x14ac:dyDescent="0.3">
      <c r="A960" s="1" t="s">
        <v>95</v>
      </c>
      <c r="B960" s="1" t="s">
        <v>5</v>
      </c>
      <c r="C960" s="1">
        <v>13</v>
      </c>
      <c r="D960" s="1">
        <v>5</v>
      </c>
      <c r="E960" s="3">
        <v>16</v>
      </c>
      <c r="F960" s="90">
        <v>3.2</v>
      </c>
    </row>
    <row r="961" spans="1:6" x14ac:dyDescent="0.3">
      <c r="A961" s="1" t="s">
        <v>95</v>
      </c>
      <c r="B961" s="1" t="s">
        <v>5</v>
      </c>
      <c r="C961" s="1">
        <v>14</v>
      </c>
      <c r="D961" s="1">
        <v>2</v>
      </c>
      <c r="E961" s="3">
        <v>24</v>
      </c>
      <c r="F961" s="90">
        <v>12</v>
      </c>
    </row>
    <row r="962" spans="1:6" x14ac:dyDescent="0.3">
      <c r="A962" s="1" t="s">
        <v>95</v>
      </c>
      <c r="B962" s="1" t="s">
        <v>5</v>
      </c>
      <c r="C962" s="1">
        <v>15</v>
      </c>
      <c r="D962" s="1">
        <v>92</v>
      </c>
      <c r="E962" s="3">
        <v>201</v>
      </c>
      <c r="F962" s="90">
        <v>2.1847826086956501</v>
      </c>
    </row>
    <row r="963" spans="1:6" x14ac:dyDescent="0.3">
      <c r="A963" s="1" t="s">
        <v>95</v>
      </c>
      <c r="B963" s="1" t="s">
        <v>5</v>
      </c>
      <c r="C963" s="1">
        <v>16</v>
      </c>
      <c r="D963" s="1">
        <v>1</v>
      </c>
      <c r="E963" s="3">
        <v>10</v>
      </c>
      <c r="F963" s="90">
        <v>10</v>
      </c>
    </row>
    <row r="964" spans="1:6" x14ac:dyDescent="0.3">
      <c r="A964" s="1" t="s">
        <v>96</v>
      </c>
      <c r="B964" s="1" t="s">
        <v>184</v>
      </c>
      <c r="C964" s="1">
        <v>0</v>
      </c>
      <c r="D964" s="1">
        <v>2</v>
      </c>
      <c r="E964" s="3">
        <v>0</v>
      </c>
      <c r="F964" s="90">
        <v>0</v>
      </c>
    </row>
    <row r="965" spans="1:6" x14ac:dyDescent="0.3">
      <c r="A965" s="1" t="s">
        <v>96</v>
      </c>
      <c r="B965" s="1" t="s">
        <v>184</v>
      </c>
      <c r="C965" s="1">
        <v>21</v>
      </c>
      <c r="D965" s="1">
        <v>59</v>
      </c>
      <c r="E965" s="3">
        <v>236</v>
      </c>
      <c r="F965" s="90">
        <v>4</v>
      </c>
    </row>
    <row r="966" spans="1:6" x14ac:dyDescent="0.3">
      <c r="A966" s="1" t="s">
        <v>96</v>
      </c>
      <c r="B966" s="1" t="s">
        <v>184</v>
      </c>
      <c r="C966" s="1">
        <v>22</v>
      </c>
      <c r="D966" s="1">
        <v>36</v>
      </c>
      <c r="E966" s="3">
        <v>144</v>
      </c>
      <c r="F966" s="90">
        <v>4</v>
      </c>
    </row>
    <row r="967" spans="1:6" x14ac:dyDescent="0.3">
      <c r="A967" s="1" t="s">
        <v>96</v>
      </c>
      <c r="B967" s="1" t="s">
        <v>184</v>
      </c>
      <c r="C967" s="1">
        <v>25</v>
      </c>
      <c r="D967" s="1">
        <v>3</v>
      </c>
      <c r="E967" s="3">
        <v>6</v>
      </c>
      <c r="F967" s="90">
        <v>2</v>
      </c>
    </row>
    <row r="968" spans="1:6" x14ac:dyDescent="0.3">
      <c r="A968" s="1" t="s">
        <v>96</v>
      </c>
      <c r="B968" s="1" t="s">
        <v>184</v>
      </c>
      <c r="C968" s="1">
        <v>26</v>
      </c>
      <c r="D968" s="1">
        <v>2</v>
      </c>
      <c r="E968" s="3">
        <v>20</v>
      </c>
      <c r="F968" s="90">
        <v>10</v>
      </c>
    </row>
    <row r="969" spans="1:6" x14ac:dyDescent="0.3">
      <c r="A969" s="1" t="s">
        <v>96</v>
      </c>
      <c r="B969" s="1" t="s">
        <v>183</v>
      </c>
      <c r="C969" s="1">
        <v>0</v>
      </c>
      <c r="D969" s="1">
        <v>2</v>
      </c>
      <c r="E969" s="3">
        <v>0</v>
      </c>
      <c r="F969" s="90">
        <v>0</v>
      </c>
    </row>
    <row r="970" spans="1:6" x14ac:dyDescent="0.3">
      <c r="A970" s="1" t="s">
        <v>96</v>
      </c>
      <c r="B970" s="1" t="s">
        <v>183</v>
      </c>
      <c r="C970" s="1">
        <v>31</v>
      </c>
      <c r="D970" s="1">
        <v>160</v>
      </c>
      <c r="E970" s="3">
        <v>1280</v>
      </c>
      <c r="F970" s="90">
        <v>8</v>
      </c>
    </row>
    <row r="971" spans="1:6" x14ac:dyDescent="0.3">
      <c r="A971" s="1" t="s">
        <v>96</v>
      </c>
      <c r="B971" s="1" t="s">
        <v>183</v>
      </c>
      <c r="C971" s="1">
        <v>32</v>
      </c>
      <c r="D971" s="1">
        <v>77</v>
      </c>
      <c r="E971" s="3">
        <v>770</v>
      </c>
      <c r="F971" s="90">
        <v>10</v>
      </c>
    </row>
    <row r="972" spans="1:6" x14ac:dyDescent="0.3">
      <c r="A972" s="1" t="s">
        <v>96</v>
      </c>
      <c r="B972" s="1" t="s">
        <v>183</v>
      </c>
      <c r="C972" s="1">
        <v>33</v>
      </c>
      <c r="D972" s="1">
        <v>2</v>
      </c>
      <c r="E972" s="3">
        <v>7</v>
      </c>
      <c r="F972" s="90">
        <v>3.5</v>
      </c>
    </row>
    <row r="973" spans="1:6" x14ac:dyDescent="0.3">
      <c r="A973" s="1" t="s">
        <v>96</v>
      </c>
      <c r="B973" s="1" t="s">
        <v>183</v>
      </c>
      <c r="C973" s="1">
        <v>35</v>
      </c>
      <c r="D973" s="1">
        <v>14</v>
      </c>
      <c r="E973" s="3">
        <v>58</v>
      </c>
      <c r="F973" s="90">
        <v>4.1428571428571397</v>
      </c>
    </row>
    <row r="974" spans="1:6" x14ac:dyDescent="0.3">
      <c r="A974" s="1" t="s">
        <v>96</v>
      </c>
      <c r="B974" s="1" t="s">
        <v>159</v>
      </c>
      <c r="C974" s="1">
        <v>42</v>
      </c>
      <c r="D974" s="1">
        <v>222</v>
      </c>
      <c r="E974" s="3">
        <v>444</v>
      </c>
      <c r="F974" s="90">
        <v>2</v>
      </c>
    </row>
    <row r="975" spans="1:6" x14ac:dyDescent="0.3">
      <c r="A975" s="1" t="s">
        <v>96</v>
      </c>
      <c r="B975" s="1" t="s">
        <v>5</v>
      </c>
      <c r="C975" s="1">
        <v>0</v>
      </c>
      <c r="D975" s="1">
        <v>123</v>
      </c>
      <c r="E975" s="3">
        <v>0</v>
      </c>
      <c r="F975" s="90">
        <v>0</v>
      </c>
    </row>
    <row r="976" spans="1:6" x14ac:dyDescent="0.3">
      <c r="A976" s="1" t="s">
        <v>96</v>
      </c>
      <c r="B976" s="1" t="s">
        <v>5</v>
      </c>
      <c r="C976" s="1">
        <v>11</v>
      </c>
      <c r="D976" s="1">
        <v>1776</v>
      </c>
      <c r="E976" s="3">
        <v>14208</v>
      </c>
      <c r="F976" s="90">
        <v>8</v>
      </c>
    </row>
    <row r="977" spans="1:6" x14ac:dyDescent="0.3">
      <c r="A977" s="1" t="s">
        <v>96</v>
      </c>
      <c r="B977" s="1" t="s">
        <v>5</v>
      </c>
      <c r="C977" s="1">
        <v>12</v>
      </c>
      <c r="D977" s="1">
        <v>568</v>
      </c>
      <c r="E977" s="3">
        <v>4544</v>
      </c>
      <c r="F977" s="90">
        <v>8</v>
      </c>
    </row>
    <row r="978" spans="1:6" x14ac:dyDescent="0.3">
      <c r="A978" s="1" t="s">
        <v>96</v>
      </c>
      <c r="B978" s="1" t="s">
        <v>5</v>
      </c>
      <c r="C978" s="1">
        <v>13</v>
      </c>
      <c r="D978" s="1">
        <v>1</v>
      </c>
      <c r="E978" s="3">
        <v>7.5</v>
      </c>
      <c r="F978" s="90">
        <v>7.5</v>
      </c>
    </row>
    <row r="979" spans="1:6" x14ac:dyDescent="0.3">
      <c r="A979" s="1" t="s">
        <v>96</v>
      </c>
      <c r="B979" s="1" t="s">
        <v>5</v>
      </c>
      <c r="C979" s="1">
        <v>15</v>
      </c>
      <c r="D979" s="1">
        <v>69</v>
      </c>
      <c r="E979" s="3">
        <v>138</v>
      </c>
      <c r="F979" s="90">
        <v>2</v>
      </c>
    </row>
    <row r="980" spans="1:6" x14ac:dyDescent="0.3">
      <c r="A980" s="1" t="s">
        <v>97</v>
      </c>
      <c r="B980" s="1" t="s">
        <v>184</v>
      </c>
      <c r="C980" s="1">
        <v>21</v>
      </c>
      <c r="D980" s="1">
        <v>8</v>
      </c>
      <c r="E980" s="3">
        <v>32</v>
      </c>
      <c r="F980" s="90">
        <v>4</v>
      </c>
    </row>
    <row r="981" spans="1:6" x14ac:dyDescent="0.3">
      <c r="A981" s="1" t="s">
        <v>97</v>
      </c>
      <c r="B981" s="1" t="s">
        <v>184</v>
      </c>
      <c r="C981" s="1">
        <v>22</v>
      </c>
      <c r="D981" s="1">
        <v>4</v>
      </c>
      <c r="E981" s="3">
        <v>16</v>
      </c>
      <c r="F981" s="90">
        <v>4</v>
      </c>
    </row>
    <row r="982" spans="1:6" x14ac:dyDescent="0.3">
      <c r="A982" s="1" t="s">
        <v>97</v>
      </c>
      <c r="B982" s="1" t="s">
        <v>184</v>
      </c>
      <c r="C982" s="1">
        <v>25</v>
      </c>
      <c r="D982" s="1">
        <v>1</v>
      </c>
      <c r="E982" s="3">
        <v>2</v>
      </c>
      <c r="F982" s="90">
        <v>2</v>
      </c>
    </row>
    <row r="983" spans="1:6" x14ac:dyDescent="0.3">
      <c r="A983" s="1" t="s">
        <v>97</v>
      </c>
      <c r="B983" s="1" t="s">
        <v>183</v>
      </c>
      <c r="C983" s="1">
        <v>31</v>
      </c>
      <c r="D983" s="1">
        <v>14</v>
      </c>
      <c r="E983" s="3">
        <v>112</v>
      </c>
      <c r="F983" s="90">
        <v>8</v>
      </c>
    </row>
    <row r="984" spans="1:6" x14ac:dyDescent="0.3">
      <c r="A984" s="1" t="s">
        <v>97</v>
      </c>
      <c r="B984" s="1" t="s">
        <v>183</v>
      </c>
      <c r="C984" s="1">
        <v>32</v>
      </c>
      <c r="D984" s="1">
        <v>11</v>
      </c>
      <c r="E984" s="3">
        <v>110</v>
      </c>
      <c r="F984" s="90">
        <v>10</v>
      </c>
    </row>
    <row r="985" spans="1:6" x14ac:dyDescent="0.3">
      <c r="A985" s="1" t="s">
        <v>97</v>
      </c>
      <c r="B985" s="1" t="s">
        <v>183</v>
      </c>
      <c r="C985" s="1">
        <v>35</v>
      </c>
      <c r="D985" s="1">
        <v>2</v>
      </c>
      <c r="E985" s="3">
        <v>4</v>
      </c>
      <c r="F985" s="90">
        <v>2</v>
      </c>
    </row>
    <row r="986" spans="1:6" x14ac:dyDescent="0.3">
      <c r="A986" s="1" t="s">
        <v>97</v>
      </c>
      <c r="B986" s="1" t="s">
        <v>159</v>
      </c>
      <c r="C986" s="1">
        <v>42</v>
      </c>
      <c r="D986" s="1">
        <v>29</v>
      </c>
      <c r="E986" s="3">
        <v>58</v>
      </c>
      <c r="F986" s="90">
        <v>2</v>
      </c>
    </row>
    <row r="987" spans="1:6" x14ac:dyDescent="0.3">
      <c r="A987" s="1" t="s">
        <v>97</v>
      </c>
      <c r="B987" s="1" t="s">
        <v>5</v>
      </c>
      <c r="C987" s="1">
        <v>0</v>
      </c>
      <c r="D987" s="1">
        <v>3</v>
      </c>
      <c r="E987" s="3">
        <v>0</v>
      </c>
      <c r="F987" s="90">
        <v>0</v>
      </c>
    </row>
    <row r="988" spans="1:6" x14ac:dyDescent="0.3">
      <c r="A988" s="1" t="s">
        <v>97</v>
      </c>
      <c r="B988" s="1" t="s">
        <v>5</v>
      </c>
      <c r="C988" s="1">
        <v>11</v>
      </c>
      <c r="D988" s="1">
        <v>202</v>
      </c>
      <c r="E988" s="3">
        <v>1616</v>
      </c>
      <c r="F988" s="90">
        <v>8</v>
      </c>
    </row>
    <row r="989" spans="1:6" x14ac:dyDescent="0.3">
      <c r="A989" s="1" t="s">
        <v>97</v>
      </c>
      <c r="B989" s="1" t="s">
        <v>5</v>
      </c>
      <c r="C989" s="1">
        <v>12</v>
      </c>
      <c r="D989" s="1">
        <v>105</v>
      </c>
      <c r="E989" s="3">
        <v>945</v>
      </c>
      <c r="F989" s="90">
        <v>9</v>
      </c>
    </row>
    <row r="990" spans="1:6" x14ac:dyDescent="0.3">
      <c r="A990" s="1" t="s">
        <v>97</v>
      </c>
      <c r="B990" s="1" t="s">
        <v>5</v>
      </c>
      <c r="C990" s="1">
        <v>14</v>
      </c>
      <c r="D990" s="1">
        <v>2</v>
      </c>
      <c r="E990" s="3">
        <v>30</v>
      </c>
      <c r="F990" s="90">
        <v>15</v>
      </c>
    </row>
    <row r="991" spans="1:6" x14ac:dyDescent="0.3">
      <c r="A991" s="1" t="s">
        <v>97</v>
      </c>
      <c r="B991" s="1" t="s">
        <v>5</v>
      </c>
      <c r="C991" s="1">
        <v>15</v>
      </c>
      <c r="D991" s="1">
        <v>7</v>
      </c>
      <c r="E991" s="3">
        <v>14</v>
      </c>
      <c r="F991" s="90">
        <v>2</v>
      </c>
    </row>
    <row r="992" spans="1:6" x14ac:dyDescent="0.3">
      <c r="A992" s="1" t="s">
        <v>97</v>
      </c>
      <c r="B992" s="1" t="s">
        <v>5</v>
      </c>
      <c r="C992" s="1">
        <v>16</v>
      </c>
      <c r="D992" s="1">
        <v>1</v>
      </c>
      <c r="E992" s="3">
        <v>10</v>
      </c>
      <c r="F992" s="90">
        <v>10</v>
      </c>
    </row>
    <row r="993" spans="1:6" x14ac:dyDescent="0.3">
      <c r="A993" s="1" t="s">
        <v>98</v>
      </c>
      <c r="B993" s="1" t="s">
        <v>159</v>
      </c>
      <c r="C993" s="1">
        <v>42</v>
      </c>
      <c r="D993" s="1">
        <v>2</v>
      </c>
      <c r="E993" s="3">
        <v>4</v>
      </c>
      <c r="F993" s="90">
        <v>2</v>
      </c>
    </row>
    <row r="994" spans="1:6" x14ac:dyDescent="0.3">
      <c r="A994" s="1" t="s">
        <v>99</v>
      </c>
      <c r="B994" s="1" t="s">
        <v>183</v>
      </c>
      <c r="C994" s="1">
        <v>31</v>
      </c>
      <c r="D994" s="1">
        <v>4</v>
      </c>
      <c r="E994" s="3">
        <v>32</v>
      </c>
      <c r="F994" s="90">
        <v>8</v>
      </c>
    </row>
    <row r="995" spans="1:6" x14ac:dyDescent="0.3">
      <c r="A995" s="1" t="s">
        <v>99</v>
      </c>
      <c r="B995" s="1" t="s">
        <v>159</v>
      </c>
      <c r="C995" s="1">
        <v>42</v>
      </c>
      <c r="D995" s="1">
        <v>2</v>
      </c>
      <c r="E995" s="3">
        <v>4</v>
      </c>
      <c r="F995" s="90">
        <v>2</v>
      </c>
    </row>
    <row r="996" spans="1:6" x14ac:dyDescent="0.3">
      <c r="A996" s="1" t="s">
        <v>99</v>
      </c>
      <c r="B996" s="1" t="s">
        <v>5</v>
      </c>
      <c r="C996" s="1">
        <v>0</v>
      </c>
      <c r="D996" s="1">
        <v>4</v>
      </c>
      <c r="E996" s="3">
        <v>0</v>
      </c>
      <c r="F996" s="90">
        <v>0</v>
      </c>
    </row>
    <row r="997" spans="1:6" x14ac:dyDescent="0.3">
      <c r="A997" s="1" t="s">
        <v>99</v>
      </c>
      <c r="B997" s="1" t="s">
        <v>5</v>
      </c>
      <c r="C997" s="1">
        <v>11</v>
      </c>
      <c r="D997" s="1">
        <v>43</v>
      </c>
      <c r="E997" s="3">
        <v>301</v>
      </c>
      <c r="F997" s="90">
        <v>7</v>
      </c>
    </row>
    <row r="998" spans="1:6" x14ac:dyDescent="0.3">
      <c r="A998" s="1" t="s">
        <v>99</v>
      </c>
      <c r="B998" s="1" t="s">
        <v>5</v>
      </c>
      <c r="C998" s="1">
        <v>12</v>
      </c>
      <c r="D998" s="1">
        <v>11</v>
      </c>
      <c r="E998" s="3">
        <v>99</v>
      </c>
      <c r="F998" s="90">
        <v>9</v>
      </c>
    </row>
    <row r="999" spans="1:6" x14ac:dyDescent="0.3">
      <c r="A999" s="1" t="s">
        <v>99</v>
      </c>
      <c r="B999" s="1" t="s">
        <v>5</v>
      </c>
      <c r="C999" s="1">
        <v>14</v>
      </c>
      <c r="D999" s="1">
        <v>1</v>
      </c>
      <c r="E999" s="3">
        <v>14</v>
      </c>
      <c r="F999" s="90">
        <v>14</v>
      </c>
    </row>
    <row r="1000" spans="1:6" x14ac:dyDescent="0.3">
      <c r="A1000" s="1" t="s">
        <v>100</v>
      </c>
      <c r="B1000" s="1" t="s">
        <v>184</v>
      </c>
      <c r="C1000" s="1">
        <v>0</v>
      </c>
      <c r="D1000" s="1">
        <v>19</v>
      </c>
      <c r="E1000" s="3">
        <v>0</v>
      </c>
      <c r="F1000" s="90">
        <v>0</v>
      </c>
    </row>
    <row r="1001" spans="1:6" x14ac:dyDescent="0.3">
      <c r="A1001" s="1" t="s">
        <v>100</v>
      </c>
      <c r="B1001" s="1" t="s">
        <v>184</v>
      </c>
      <c r="C1001" s="1">
        <v>21</v>
      </c>
      <c r="D1001" s="1">
        <v>112</v>
      </c>
      <c r="E1001" s="3">
        <v>448</v>
      </c>
      <c r="F1001" s="90">
        <v>4</v>
      </c>
    </row>
    <row r="1002" spans="1:6" x14ac:dyDescent="0.3">
      <c r="A1002" s="1" t="s">
        <v>100</v>
      </c>
      <c r="B1002" s="1" t="s">
        <v>184</v>
      </c>
      <c r="C1002" s="1">
        <v>22</v>
      </c>
      <c r="D1002" s="1">
        <v>163</v>
      </c>
      <c r="E1002" s="3">
        <v>652</v>
      </c>
      <c r="F1002" s="90">
        <v>4</v>
      </c>
    </row>
    <row r="1003" spans="1:6" x14ac:dyDescent="0.3">
      <c r="A1003" s="1" t="s">
        <v>100</v>
      </c>
      <c r="B1003" s="1" t="s">
        <v>184</v>
      </c>
      <c r="C1003" s="1">
        <v>25</v>
      </c>
      <c r="D1003" s="1">
        <v>4</v>
      </c>
      <c r="E1003" s="3">
        <v>8</v>
      </c>
      <c r="F1003" s="90">
        <v>2</v>
      </c>
    </row>
    <row r="1004" spans="1:6" x14ac:dyDescent="0.3">
      <c r="A1004" s="1" t="s">
        <v>100</v>
      </c>
      <c r="B1004" s="1" t="s">
        <v>184</v>
      </c>
      <c r="C1004" s="1">
        <v>26</v>
      </c>
      <c r="D1004" s="1">
        <v>3</v>
      </c>
      <c r="E1004" s="3">
        <v>30</v>
      </c>
      <c r="F1004" s="90">
        <v>10</v>
      </c>
    </row>
    <row r="1005" spans="1:6" x14ac:dyDescent="0.3">
      <c r="A1005" s="1" t="s">
        <v>100</v>
      </c>
      <c r="B1005" s="1" t="s">
        <v>183</v>
      </c>
      <c r="C1005" s="1">
        <v>0</v>
      </c>
      <c r="D1005" s="1">
        <v>7</v>
      </c>
      <c r="E1005" s="3">
        <v>0</v>
      </c>
      <c r="F1005" s="90">
        <v>0</v>
      </c>
    </row>
    <row r="1006" spans="1:6" x14ac:dyDescent="0.3">
      <c r="A1006" s="1" t="s">
        <v>100</v>
      </c>
      <c r="B1006" s="1" t="s">
        <v>183</v>
      </c>
      <c r="C1006" s="1">
        <v>31</v>
      </c>
      <c r="D1006" s="1">
        <v>256</v>
      </c>
      <c r="E1006" s="3">
        <v>2048</v>
      </c>
      <c r="F1006" s="90">
        <v>8</v>
      </c>
    </row>
    <row r="1007" spans="1:6" x14ac:dyDescent="0.3">
      <c r="A1007" s="1" t="s">
        <v>100</v>
      </c>
      <c r="B1007" s="1" t="s">
        <v>183</v>
      </c>
      <c r="C1007" s="1">
        <v>32</v>
      </c>
      <c r="D1007" s="1">
        <v>156</v>
      </c>
      <c r="E1007" s="3">
        <v>1560</v>
      </c>
      <c r="F1007" s="90">
        <v>10</v>
      </c>
    </row>
    <row r="1008" spans="1:6" x14ac:dyDescent="0.3">
      <c r="A1008" s="1" t="s">
        <v>100</v>
      </c>
      <c r="B1008" s="1" t="s">
        <v>183</v>
      </c>
      <c r="C1008" s="1">
        <v>33</v>
      </c>
      <c r="D1008" s="1">
        <v>1</v>
      </c>
      <c r="E1008" s="3">
        <v>4</v>
      </c>
      <c r="F1008" s="90">
        <v>4</v>
      </c>
    </row>
    <row r="1009" spans="1:6" x14ac:dyDescent="0.3">
      <c r="A1009" s="1" t="s">
        <v>100</v>
      </c>
      <c r="B1009" s="1" t="s">
        <v>159</v>
      </c>
      <c r="C1009" s="1">
        <v>41</v>
      </c>
      <c r="D1009" s="1">
        <v>1</v>
      </c>
      <c r="E1009" s="3">
        <v>2</v>
      </c>
      <c r="F1009" s="90">
        <v>2</v>
      </c>
    </row>
    <row r="1010" spans="1:6" x14ac:dyDescent="0.3">
      <c r="A1010" s="1" t="s">
        <v>100</v>
      </c>
      <c r="B1010" s="1" t="s">
        <v>159</v>
      </c>
      <c r="C1010" s="1">
        <v>42</v>
      </c>
      <c r="D1010" s="1">
        <v>721</v>
      </c>
      <c r="E1010" s="3">
        <v>1442</v>
      </c>
      <c r="F1010" s="90">
        <v>2</v>
      </c>
    </row>
    <row r="1011" spans="1:6" x14ac:dyDescent="0.3">
      <c r="A1011" s="1" t="s">
        <v>100</v>
      </c>
      <c r="B1011" s="1" t="s">
        <v>5</v>
      </c>
      <c r="C1011" s="1">
        <v>0</v>
      </c>
      <c r="D1011" s="1">
        <v>1618</v>
      </c>
      <c r="E1011" s="3">
        <v>0</v>
      </c>
      <c r="F1011" s="90">
        <v>0</v>
      </c>
    </row>
    <row r="1012" spans="1:6" x14ac:dyDescent="0.3">
      <c r="A1012" s="1" t="s">
        <v>100</v>
      </c>
      <c r="B1012" s="1" t="s">
        <v>5</v>
      </c>
      <c r="C1012" s="1">
        <v>11</v>
      </c>
      <c r="D1012" s="1">
        <v>1798</v>
      </c>
      <c r="E1012" s="3">
        <v>14384</v>
      </c>
      <c r="F1012" s="90">
        <v>8</v>
      </c>
    </row>
    <row r="1013" spans="1:6" x14ac:dyDescent="0.3">
      <c r="A1013" s="1" t="s">
        <v>100</v>
      </c>
      <c r="B1013" s="1" t="s">
        <v>5</v>
      </c>
      <c r="C1013" s="1">
        <v>12</v>
      </c>
      <c r="D1013" s="1">
        <v>1880</v>
      </c>
      <c r="E1013" s="3">
        <v>18800</v>
      </c>
      <c r="F1013" s="90">
        <v>10</v>
      </c>
    </row>
    <row r="1014" spans="1:6" x14ac:dyDescent="0.3">
      <c r="A1014" s="1" t="s">
        <v>100</v>
      </c>
      <c r="B1014" s="1" t="s">
        <v>5</v>
      </c>
      <c r="C1014" s="1">
        <v>13</v>
      </c>
      <c r="D1014" s="1">
        <v>9</v>
      </c>
      <c r="E1014" s="3">
        <v>27</v>
      </c>
      <c r="F1014" s="90">
        <v>3</v>
      </c>
    </row>
    <row r="1015" spans="1:6" x14ac:dyDescent="0.3">
      <c r="A1015" s="1" t="s">
        <v>100</v>
      </c>
      <c r="B1015" s="1" t="s">
        <v>5</v>
      </c>
      <c r="C1015" s="1">
        <v>14</v>
      </c>
      <c r="D1015" s="1">
        <v>5</v>
      </c>
      <c r="E1015" s="3">
        <v>62</v>
      </c>
      <c r="F1015" s="90">
        <v>12.4</v>
      </c>
    </row>
    <row r="1016" spans="1:6" x14ac:dyDescent="0.3">
      <c r="A1016" s="1" t="s">
        <v>100</v>
      </c>
      <c r="B1016" s="1" t="s">
        <v>5</v>
      </c>
      <c r="C1016" s="1">
        <v>15</v>
      </c>
      <c r="D1016" s="1">
        <v>105</v>
      </c>
      <c r="E1016" s="3">
        <v>238</v>
      </c>
      <c r="F1016" s="90">
        <v>2.2666666666666702</v>
      </c>
    </row>
    <row r="1017" spans="1:6" x14ac:dyDescent="0.3">
      <c r="A1017" s="1" t="s">
        <v>100</v>
      </c>
      <c r="B1017" s="1" t="s">
        <v>5</v>
      </c>
      <c r="C1017" s="1">
        <v>16</v>
      </c>
      <c r="D1017" s="1">
        <v>10</v>
      </c>
      <c r="E1017" s="3">
        <v>135</v>
      </c>
      <c r="F1017" s="90">
        <v>13.5</v>
      </c>
    </row>
    <row r="1018" spans="1:6" x14ac:dyDescent="0.3">
      <c r="A1018" s="1" t="s">
        <v>101</v>
      </c>
      <c r="B1018" s="1" t="s">
        <v>184</v>
      </c>
      <c r="C1018" s="1">
        <v>0</v>
      </c>
      <c r="D1018" s="1">
        <v>2</v>
      </c>
      <c r="E1018" s="3">
        <v>0</v>
      </c>
      <c r="F1018" s="90">
        <v>0</v>
      </c>
    </row>
    <row r="1019" spans="1:6" x14ac:dyDescent="0.3">
      <c r="A1019" s="1" t="s">
        <v>101</v>
      </c>
      <c r="B1019" s="1" t="s">
        <v>184</v>
      </c>
      <c r="C1019" s="1">
        <v>21</v>
      </c>
      <c r="D1019" s="1">
        <v>27</v>
      </c>
      <c r="E1019" s="3">
        <v>108</v>
      </c>
      <c r="F1019" s="90">
        <v>4</v>
      </c>
    </row>
    <row r="1020" spans="1:6" x14ac:dyDescent="0.3">
      <c r="A1020" s="1" t="s">
        <v>101</v>
      </c>
      <c r="B1020" s="1" t="s">
        <v>184</v>
      </c>
      <c r="C1020" s="1">
        <v>22</v>
      </c>
      <c r="D1020" s="1">
        <v>24</v>
      </c>
      <c r="E1020" s="3">
        <v>96</v>
      </c>
      <c r="F1020" s="90">
        <v>4</v>
      </c>
    </row>
    <row r="1021" spans="1:6" x14ac:dyDescent="0.3">
      <c r="A1021" s="1" t="s">
        <v>101</v>
      </c>
      <c r="B1021" s="1" t="s">
        <v>183</v>
      </c>
      <c r="C1021" s="1">
        <v>0</v>
      </c>
      <c r="D1021" s="1">
        <v>1</v>
      </c>
      <c r="E1021" s="3">
        <v>0</v>
      </c>
      <c r="F1021" s="90">
        <v>0</v>
      </c>
    </row>
    <row r="1022" spans="1:6" x14ac:dyDescent="0.3">
      <c r="A1022" s="1" t="s">
        <v>101</v>
      </c>
      <c r="B1022" s="1" t="s">
        <v>183</v>
      </c>
      <c r="C1022" s="1">
        <v>31</v>
      </c>
      <c r="D1022" s="1">
        <v>30</v>
      </c>
      <c r="E1022" s="3">
        <v>240</v>
      </c>
      <c r="F1022" s="90">
        <v>8</v>
      </c>
    </row>
    <row r="1023" spans="1:6" x14ac:dyDescent="0.3">
      <c r="A1023" s="1" t="s">
        <v>101</v>
      </c>
      <c r="B1023" s="1" t="s">
        <v>183</v>
      </c>
      <c r="C1023" s="1">
        <v>32</v>
      </c>
      <c r="D1023" s="1">
        <v>16</v>
      </c>
      <c r="E1023" s="3">
        <v>160</v>
      </c>
      <c r="F1023" s="90">
        <v>10</v>
      </c>
    </row>
    <row r="1024" spans="1:6" x14ac:dyDescent="0.3">
      <c r="A1024" s="1" t="s">
        <v>101</v>
      </c>
      <c r="B1024" s="1" t="s">
        <v>159</v>
      </c>
      <c r="C1024" s="1">
        <v>42</v>
      </c>
      <c r="D1024" s="1">
        <v>28</v>
      </c>
      <c r="E1024" s="3">
        <v>56</v>
      </c>
      <c r="F1024" s="90">
        <v>2</v>
      </c>
    </row>
    <row r="1025" spans="1:6" x14ac:dyDescent="0.3">
      <c r="A1025" s="1" t="s">
        <v>101</v>
      </c>
      <c r="B1025" s="1" t="s">
        <v>5</v>
      </c>
      <c r="C1025" s="1">
        <v>0</v>
      </c>
      <c r="D1025" s="1">
        <v>586</v>
      </c>
      <c r="E1025" s="3">
        <v>0</v>
      </c>
      <c r="F1025" s="90">
        <v>0</v>
      </c>
    </row>
    <row r="1026" spans="1:6" x14ac:dyDescent="0.3">
      <c r="A1026" s="1" t="s">
        <v>101</v>
      </c>
      <c r="B1026" s="1" t="s">
        <v>5</v>
      </c>
      <c r="C1026" s="1">
        <v>11</v>
      </c>
      <c r="D1026" s="1">
        <v>673</v>
      </c>
      <c r="E1026" s="3">
        <v>3365</v>
      </c>
      <c r="F1026" s="90">
        <v>5</v>
      </c>
    </row>
    <row r="1027" spans="1:6" x14ac:dyDescent="0.3">
      <c r="A1027" s="1" t="s">
        <v>101</v>
      </c>
      <c r="B1027" s="1" t="s">
        <v>5</v>
      </c>
      <c r="C1027" s="1">
        <v>12</v>
      </c>
      <c r="D1027" s="1">
        <v>801</v>
      </c>
      <c r="E1027" s="3">
        <v>4806</v>
      </c>
      <c r="F1027" s="90">
        <v>6</v>
      </c>
    </row>
    <row r="1028" spans="1:6" x14ac:dyDescent="0.3">
      <c r="A1028" s="1" t="s">
        <v>101</v>
      </c>
      <c r="B1028" s="1" t="s">
        <v>5</v>
      </c>
      <c r="C1028" s="1">
        <v>13</v>
      </c>
      <c r="D1028" s="1">
        <v>2</v>
      </c>
      <c r="E1028" s="3">
        <v>6</v>
      </c>
      <c r="F1028" s="90">
        <v>3</v>
      </c>
    </row>
    <row r="1029" spans="1:6" x14ac:dyDescent="0.3">
      <c r="A1029" s="1" t="s">
        <v>101</v>
      </c>
      <c r="B1029" s="1" t="s">
        <v>5</v>
      </c>
      <c r="C1029" s="1">
        <v>14</v>
      </c>
      <c r="D1029" s="1">
        <v>3</v>
      </c>
      <c r="E1029" s="3">
        <v>25.5</v>
      </c>
      <c r="F1029" s="90">
        <v>8.5</v>
      </c>
    </row>
    <row r="1030" spans="1:6" x14ac:dyDescent="0.3">
      <c r="A1030" s="1" t="s">
        <v>101</v>
      </c>
      <c r="B1030" s="1" t="s">
        <v>5</v>
      </c>
      <c r="C1030" s="1">
        <v>16</v>
      </c>
      <c r="D1030" s="1">
        <v>1</v>
      </c>
      <c r="E1030" s="3">
        <v>9</v>
      </c>
      <c r="F1030" s="90">
        <v>9</v>
      </c>
    </row>
    <row r="1031" spans="1:6" x14ac:dyDescent="0.3">
      <c r="A1031" s="1" t="s">
        <v>102</v>
      </c>
      <c r="B1031" s="1" t="s">
        <v>184</v>
      </c>
      <c r="C1031" s="1">
        <v>21</v>
      </c>
      <c r="D1031" s="1">
        <v>1</v>
      </c>
      <c r="E1031" s="3">
        <v>4</v>
      </c>
      <c r="F1031" s="90">
        <v>4</v>
      </c>
    </row>
    <row r="1032" spans="1:6" x14ac:dyDescent="0.3">
      <c r="A1032" s="1" t="s">
        <v>102</v>
      </c>
      <c r="B1032" s="1" t="s">
        <v>183</v>
      </c>
      <c r="C1032" s="1">
        <v>36</v>
      </c>
      <c r="D1032" s="1">
        <v>1</v>
      </c>
      <c r="E1032" s="3">
        <v>11</v>
      </c>
      <c r="F1032" s="90">
        <v>11</v>
      </c>
    </row>
    <row r="1033" spans="1:6" x14ac:dyDescent="0.3">
      <c r="A1033" s="1" t="s">
        <v>102</v>
      </c>
      <c r="B1033" s="1" t="s">
        <v>5</v>
      </c>
      <c r="C1033" s="1">
        <v>0</v>
      </c>
      <c r="D1033" s="1">
        <v>33</v>
      </c>
      <c r="E1033" s="3">
        <v>0</v>
      </c>
      <c r="F1033" s="90">
        <v>0</v>
      </c>
    </row>
    <row r="1034" spans="1:6" x14ac:dyDescent="0.3">
      <c r="A1034" s="1" t="s">
        <v>102</v>
      </c>
      <c r="B1034" s="1" t="s">
        <v>5</v>
      </c>
      <c r="C1034" s="1">
        <v>11</v>
      </c>
      <c r="D1034" s="1">
        <v>91</v>
      </c>
      <c r="E1034" s="3">
        <v>364</v>
      </c>
      <c r="F1034" s="90">
        <v>4</v>
      </c>
    </row>
    <row r="1035" spans="1:6" x14ac:dyDescent="0.3">
      <c r="A1035" s="1" t="s">
        <v>102</v>
      </c>
      <c r="B1035" s="1" t="s">
        <v>5</v>
      </c>
      <c r="C1035" s="1">
        <v>12</v>
      </c>
      <c r="D1035" s="1">
        <v>210</v>
      </c>
      <c r="E1035" s="3">
        <v>1470</v>
      </c>
      <c r="F1035" s="90">
        <v>7</v>
      </c>
    </row>
    <row r="1036" spans="1:6" x14ac:dyDescent="0.3">
      <c r="A1036" s="1" t="s">
        <v>102</v>
      </c>
      <c r="B1036" s="1" t="s">
        <v>5</v>
      </c>
      <c r="C1036" s="1">
        <v>13</v>
      </c>
      <c r="D1036" s="1">
        <v>5</v>
      </c>
      <c r="E1036" s="3">
        <v>11</v>
      </c>
      <c r="F1036" s="90">
        <v>2.2000000000000002</v>
      </c>
    </row>
    <row r="1037" spans="1:6" x14ac:dyDescent="0.3">
      <c r="A1037" s="1" t="s">
        <v>102</v>
      </c>
      <c r="B1037" s="1" t="s">
        <v>5</v>
      </c>
      <c r="C1037" s="1">
        <v>14</v>
      </c>
      <c r="D1037" s="1">
        <v>116</v>
      </c>
      <c r="E1037" s="3">
        <v>849.5</v>
      </c>
      <c r="F1037" s="90">
        <v>7.3232758620689697</v>
      </c>
    </row>
    <row r="1038" spans="1:6" x14ac:dyDescent="0.3">
      <c r="A1038" s="1" t="s">
        <v>102</v>
      </c>
      <c r="B1038" s="1" t="s">
        <v>5</v>
      </c>
      <c r="C1038" s="1">
        <v>15</v>
      </c>
      <c r="D1038" s="1">
        <v>2</v>
      </c>
      <c r="E1038" s="3">
        <v>10</v>
      </c>
      <c r="F1038" s="90">
        <v>5</v>
      </c>
    </row>
    <row r="1039" spans="1:6" x14ac:dyDescent="0.3">
      <c r="A1039" s="1" t="s">
        <v>102</v>
      </c>
      <c r="B1039" s="1" t="s">
        <v>5</v>
      </c>
      <c r="C1039" s="1">
        <v>16</v>
      </c>
      <c r="D1039" s="1">
        <v>24</v>
      </c>
      <c r="E1039" s="3">
        <v>217</v>
      </c>
      <c r="F1039" s="90">
        <v>9.0416666666666696</v>
      </c>
    </row>
    <row r="1040" spans="1:6" x14ac:dyDescent="0.3">
      <c r="A1040" s="1" t="s">
        <v>103</v>
      </c>
      <c r="B1040" s="1" t="s">
        <v>183</v>
      </c>
      <c r="C1040" s="1">
        <v>31</v>
      </c>
      <c r="D1040" s="1">
        <v>2</v>
      </c>
      <c r="E1040" s="3">
        <v>16</v>
      </c>
      <c r="F1040" s="90">
        <v>8</v>
      </c>
    </row>
    <row r="1041" spans="1:6" x14ac:dyDescent="0.3">
      <c r="A1041" s="1" t="s">
        <v>103</v>
      </c>
      <c r="B1041" s="1" t="s">
        <v>5</v>
      </c>
      <c r="C1041" s="1">
        <v>0</v>
      </c>
      <c r="D1041" s="1">
        <v>227</v>
      </c>
      <c r="E1041" s="3">
        <v>0</v>
      </c>
      <c r="F1041" s="90">
        <v>0</v>
      </c>
    </row>
    <row r="1042" spans="1:6" x14ac:dyDescent="0.3">
      <c r="A1042" s="1" t="s">
        <v>103</v>
      </c>
      <c r="B1042" s="1" t="s">
        <v>5</v>
      </c>
      <c r="C1042" s="1">
        <v>11</v>
      </c>
      <c r="D1042" s="1">
        <v>2237</v>
      </c>
      <c r="E1042" s="3">
        <v>17896</v>
      </c>
      <c r="F1042" s="90">
        <v>8</v>
      </c>
    </row>
    <row r="1043" spans="1:6" x14ac:dyDescent="0.3">
      <c r="A1043" s="1" t="s">
        <v>103</v>
      </c>
      <c r="B1043" s="1" t="s">
        <v>5</v>
      </c>
      <c r="C1043" s="1">
        <v>12</v>
      </c>
      <c r="D1043" s="1">
        <v>7342</v>
      </c>
      <c r="E1043" s="3">
        <v>58736</v>
      </c>
      <c r="F1043" s="90">
        <v>8</v>
      </c>
    </row>
    <row r="1044" spans="1:6" x14ac:dyDescent="0.3">
      <c r="A1044" s="1" t="s">
        <v>103</v>
      </c>
      <c r="B1044" s="1" t="s">
        <v>5</v>
      </c>
      <c r="C1044" s="1">
        <v>13</v>
      </c>
      <c r="D1044" s="1">
        <v>2</v>
      </c>
      <c r="E1044" s="3">
        <v>14</v>
      </c>
      <c r="F1044" s="90">
        <v>7</v>
      </c>
    </row>
    <row r="1045" spans="1:6" x14ac:dyDescent="0.3">
      <c r="A1045" s="1" t="s">
        <v>103</v>
      </c>
      <c r="B1045" s="1" t="s">
        <v>5</v>
      </c>
      <c r="C1045" s="1">
        <v>14</v>
      </c>
      <c r="D1045" s="1">
        <v>31</v>
      </c>
      <c r="E1045" s="3">
        <v>386</v>
      </c>
      <c r="F1045" s="90">
        <v>12.451612903225801</v>
      </c>
    </row>
    <row r="1046" spans="1:6" x14ac:dyDescent="0.3">
      <c r="A1046" s="1" t="s">
        <v>103</v>
      </c>
      <c r="B1046" s="1" t="s">
        <v>5</v>
      </c>
      <c r="C1046" s="1">
        <v>15</v>
      </c>
      <c r="D1046" s="1">
        <v>13</v>
      </c>
      <c r="E1046" s="3">
        <v>60</v>
      </c>
      <c r="F1046" s="90">
        <v>4.6153846153846096</v>
      </c>
    </row>
    <row r="1047" spans="1:6" x14ac:dyDescent="0.3">
      <c r="A1047" s="1" t="s">
        <v>103</v>
      </c>
      <c r="B1047" s="1" t="s">
        <v>5</v>
      </c>
      <c r="C1047" s="1">
        <v>16</v>
      </c>
      <c r="D1047" s="1">
        <v>18</v>
      </c>
      <c r="E1047" s="3">
        <v>204</v>
      </c>
      <c r="F1047" s="90">
        <v>11.3333333333333</v>
      </c>
    </row>
    <row r="1048" spans="1:6" x14ac:dyDescent="0.3">
      <c r="A1048" s="1" t="s">
        <v>104</v>
      </c>
      <c r="B1048" s="1" t="s">
        <v>5</v>
      </c>
      <c r="C1048" s="1">
        <v>0</v>
      </c>
      <c r="D1048" s="1">
        <v>43</v>
      </c>
      <c r="E1048" s="3">
        <v>0</v>
      </c>
      <c r="F1048" s="90">
        <v>0</v>
      </c>
    </row>
    <row r="1049" spans="1:6" x14ac:dyDescent="0.3">
      <c r="A1049" s="1" t="s">
        <v>104</v>
      </c>
      <c r="B1049" s="1" t="s">
        <v>5</v>
      </c>
      <c r="C1049" s="1">
        <v>11</v>
      </c>
      <c r="D1049" s="1">
        <v>987</v>
      </c>
      <c r="E1049" s="3">
        <v>11844</v>
      </c>
      <c r="F1049" s="90">
        <v>12</v>
      </c>
    </row>
    <row r="1050" spans="1:6" x14ac:dyDescent="0.3">
      <c r="A1050" s="1" t="s">
        <v>104</v>
      </c>
      <c r="B1050" s="1" t="s">
        <v>5</v>
      </c>
      <c r="C1050" s="1">
        <v>12</v>
      </c>
      <c r="D1050" s="1">
        <v>88</v>
      </c>
      <c r="E1050" s="3">
        <v>880</v>
      </c>
      <c r="F1050" s="90">
        <v>10</v>
      </c>
    </row>
    <row r="1051" spans="1:6" x14ac:dyDescent="0.3">
      <c r="A1051" s="1" t="s">
        <v>104</v>
      </c>
      <c r="B1051" s="1" t="s">
        <v>5</v>
      </c>
      <c r="C1051" s="1">
        <v>13</v>
      </c>
      <c r="D1051" s="1">
        <v>2</v>
      </c>
      <c r="E1051" s="3">
        <v>18</v>
      </c>
      <c r="F1051" s="90">
        <v>9</v>
      </c>
    </row>
    <row r="1052" spans="1:6" x14ac:dyDescent="0.3">
      <c r="A1052" s="1" t="s">
        <v>104</v>
      </c>
      <c r="B1052" s="1" t="s">
        <v>5</v>
      </c>
      <c r="C1052" s="1">
        <v>14</v>
      </c>
      <c r="D1052" s="1">
        <v>12</v>
      </c>
      <c r="E1052" s="3">
        <v>208</v>
      </c>
      <c r="F1052" s="90">
        <v>17.3333333333333</v>
      </c>
    </row>
    <row r="1053" spans="1:6" x14ac:dyDescent="0.3">
      <c r="A1053" s="1" t="s">
        <v>104</v>
      </c>
      <c r="B1053" s="1" t="s">
        <v>5</v>
      </c>
      <c r="C1053" s="1">
        <v>15</v>
      </c>
      <c r="D1053" s="1">
        <v>3</v>
      </c>
      <c r="E1053" s="3">
        <v>22.6</v>
      </c>
      <c r="F1053" s="90">
        <v>7.5333333333333297</v>
      </c>
    </row>
    <row r="1054" spans="1:6" x14ac:dyDescent="0.3">
      <c r="A1054" s="1" t="s">
        <v>104</v>
      </c>
      <c r="B1054" s="1" t="s">
        <v>5</v>
      </c>
      <c r="C1054" s="1">
        <v>16</v>
      </c>
      <c r="D1054" s="1">
        <v>602</v>
      </c>
      <c r="E1054" s="3">
        <v>7224</v>
      </c>
      <c r="F1054" s="90">
        <v>12</v>
      </c>
    </row>
    <row r="1055" spans="1:6" x14ac:dyDescent="0.3">
      <c r="A1055" s="1" t="s">
        <v>105</v>
      </c>
      <c r="B1055" s="1" t="s">
        <v>184</v>
      </c>
      <c r="C1055" s="1">
        <v>21</v>
      </c>
      <c r="D1055" s="1">
        <v>1</v>
      </c>
      <c r="E1055" s="3">
        <v>4</v>
      </c>
      <c r="F1055" s="90">
        <v>4</v>
      </c>
    </row>
    <row r="1056" spans="1:6" x14ac:dyDescent="0.3">
      <c r="A1056" s="1" t="s">
        <v>105</v>
      </c>
      <c r="B1056" s="1" t="s">
        <v>184</v>
      </c>
      <c r="C1056" s="1">
        <v>26</v>
      </c>
      <c r="D1056" s="1">
        <v>1</v>
      </c>
      <c r="E1056" s="3">
        <v>6</v>
      </c>
      <c r="F1056" s="90">
        <v>6</v>
      </c>
    </row>
    <row r="1057" spans="1:6" x14ac:dyDescent="0.3">
      <c r="A1057" s="1" t="s">
        <v>105</v>
      </c>
      <c r="B1057" s="1" t="s">
        <v>5</v>
      </c>
      <c r="C1057" s="1">
        <v>0</v>
      </c>
      <c r="D1057" s="1">
        <v>59</v>
      </c>
      <c r="E1057" s="3">
        <v>0</v>
      </c>
      <c r="F1057" s="90">
        <v>0</v>
      </c>
    </row>
    <row r="1058" spans="1:6" x14ac:dyDescent="0.3">
      <c r="A1058" s="1" t="s">
        <v>105</v>
      </c>
      <c r="B1058" s="1" t="s">
        <v>5</v>
      </c>
      <c r="C1058" s="1">
        <v>11</v>
      </c>
      <c r="D1058" s="1">
        <v>850</v>
      </c>
      <c r="E1058" s="3">
        <v>3400</v>
      </c>
      <c r="F1058" s="90">
        <v>4</v>
      </c>
    </row>
    <row r="1059" spans="1:6" x14ac:dyDescent="0.3">
      <c r="A1059" s="1" t="s">
        <v>105</v>
      </c>
      <c r="B1059" s="1" t="s">
        <v>5</v>
      </c>
      <c r="C1059" s="1">
        <v>12</v>
      </c>
      <c r="D1059" s="1">
        <v>1843</v>
      </c>
      <c r="E1059" s="3">
        <v>11058</v>
      </c>
      <c r="F1059" s="90">
        <v>6</v>
      </c>
    </row>
    <row r="1060" spans="1:6" x14ac:dyDescent="0.3">
      <c r="A1060" s="1" t="s">
        <v>105</v>
      </c>
      <c r="B1060" s="1" t="s">
        <v>5</v>
      </c>
      <c r="C1060" s="1">
        <v>14</v>
      </c>
      <c r="D1060" s="1">
        <v>5</v>
      </c>
      <c r="E1060" s="3">
        <v>37</v>
      </c>
      <c r="F1060" s="90">
        <v>7.4</v>
      </c>
    </row>
    <row r="1061" spans="1:6" x14ac:dyDescent="0.3">
      <c r="A1061" s="1" t="s">
        <v>105</v>
      </c>
      <c r="B1061" s="1" t="s">
        <v>5</v>
      </c>
      <c r="C1061" s="1">
        <v>16</v>
      </c>
      <c r="D1061" s="1">
        <v>9</v>
      </c>
      <c r="E1061" s="3">
        <v>83</v>
      </c>
      <c r="F1061" s="90">
        <v>9.2222222222222197</v>
      </c>
    </row>
    <row r="1062" spans="1:6" x14ac:dyDescent="0.3">
      <c r="A1062" s="1" t="s">
        <v>106</v>
      </c>
      <c r="B1062" s="1" t="s">
        <v>159</v>
      </c>
      <c r="C1062" s="1">
        <v>41</v>
      </c>
      <c r="D1062" s="1">
        <v>27</v>
      </c>
      <c r="E1062" s="3">
        <v>54</v>
      </c>
      <c r="F1062" s="90">
        <v>2</v>
      </c>
    </row>
    <row r="1063" spans="1:6" x14ac:dyDescent="0.3">
      <c r="A1063" s="1" t="s">
        <v>106</v>
      </c>
      <c r="B1063" s="1" t="s">
        <v>159</v>
      </c>
      <c r="C1063" s="1">
        <v>42</v>
      </c>
      <c r="D1063" s="1">
        <v>530</v>
      </c>
      <c r="E1063" s="3">
        <v>1060</v>
      </c>
      <c r="F1063" s="90">
        <v>2</v>
      </c>
    </row>
    <row r="1064" spans="1:6" x14ac:dyDescent="0.3">
      <c r="A1064" s="1" t="s">
        <v>106</v>
      </c>
      <c r="B1064" s="1" t="s">
        <v>5</v>
      </c>
      <c r="C1064" s="1">
        <v>11</v>
      </c>
      <c r="D1064" s="1">
        <v>1</v>
      </c>
      <c r="E1064" s="3">
        <v>2</v>
      </c>
      <c r="F1064" s="90">
        <v>2</v>
      </c>
    </row>
    <row r="1065" spans="1:6" x14ac:dyDescent="0.3">
      <c r="A1065" s="1" t="s">
        <v>106</v>
      </c>
      <c r="B1065" s="1" t="s">
        <v>5</v>
      </c>
      <c r="C1065" s="1">
        <v>12</v>
      </c>
      <c r="D1065" s="1">
        <v>4</v>
      </c>
      <c r="E1065" s="3">
        <v>8</v>
      </c>
      <c r="F1065" s="90">
        <v>2</v>
      </c>
    </row>
    <row r="1066" spans="1:6" x14ac:dyDescent="0.3">
      <c r="A1066" s="1" t="s">
        <v>107</v>
      </c>
      <c r="B1066" s="1" t="s">
        <v>184</v>
      </c>
      <c r="C1066" s="1">
        <v>21</v>
      </c>
      <c r="D1066" s="1">
        <v>1</v>
      </c>
      <c r="E1066" s="3">
        <v>4</v>
      </c>
      <c r="F1066" s="90">
        <v>4</v>
      </c>
    </row>
    <row r="1067" spans="1:6" x14ac:dyDescent="0.3">
      <c r="A1067" s="1" t="s">
        <v>107</v>
      </c>
      <c r="B1067" s="1" t="s">
        <v>5</v>
      </c>
      <c r="C1067" s="1">
        <v>16</v>
      </c>
      <c r="D1067" s="1">
        <v>1</v>
      </c>
      <c r="E1067" s="3">
        <v>12</v>
      </c>
      <c r="F1067" s="90">
        <v>12</v>
      </c>
    </row>
    <row r="1068" spans="1:6" x14ac:dyDescent="0.3">
      <c r="A1068" s="1" t="s">
        <v>108</v>
      </c>
      <c r="B1068" s="1" t="s">
        <v>184</v>
      </c>
      <c r="C1068" s="1">
        <v>0</v>
      </c>
      <c r="D1068" s="1">
        <v>3</v>
      </c>
      <c r="E1068" s="3">
        <v>0</v>
      </c>
      <c r="F1068" s="90">
        <v>0</v>
      </c>
    </row>
    <row r="1069" spans="1:6" x14ac:dyDescent="0.3">
      <c r="A1069" s="1" t="s">
        <v>108</v>
      </c>
      <c r="B1069" s="1" t="s">
        <v>184</v>
      </c>
      <c r="C1069" s="1">
        <v>21</v>
      </c>
      <c r="D1069" s="1">
        <v>11</v>
      </c>
      <c r="E1069" s="3">
        <v>44</v>
      </c>
      <c r="F1069" s="90">
        <v>4</v>
      </c>
    </row>
    <row r="1070" spans="1:6" x14ac:dyDescent="0.3">
      <c r="A1070" s="1" t="s">
        <v>108</v>
      </c>
      <c r="B1070" s="1" t="s">
        <v>184</v>
      </c>
      <c r="C1070" s="1">
        <v>22</v>
      </c>
      <c r="D1070" s="1">
        <v>21</v>
      </c>
      <c r="E1070" s="3">
        <v>84</v>
      </c>
      <c r="F1070" s="90">
        <v>4</v>
      </c>
    </row>
    <row r="1071" spans="1:6" x14ac:dyDescent="0.3">
      <c r="A1071" s="1" t="s">
        <v>108</v>
      </c>
      <c r="B1071" s="1" t="s">
        <v>183</v>
      </c>
      <c r="C1071" s="1">
        <v>0</v>
      </c>
      <c r="D1071" s="1">
        <v>2</v>
      </c>
      <c r="E1071" s="3">
        <v>0</v>
      </c>
      <c r="F1071" s="90">
        <v>0</v>
      </c>
    </row>
    <row r="1072" spans="1:6" x14ac:dyDescent="0.3">
      <c r="A1072" s="1" t="s">
        <v>108</v>
      </c>
      <c r="B1072" s="1" t="s">
        <v>183</v>
      </c>
      <c r="C1072" s="1">
        <v>31</v>
      </c>
      <c r="D1072" s="1">
        <v>14</v>
      </c>
      <c r="E1072" s="3">
        <v>112</v>
      </c>
      <c r="F1072" s="90">
        <v>8</v>
      </c>
    </row>
    <row r="1073" spans="1:6" x14ac:dyDescent="0.3">
      <c r="A1073" s="1" t="s">
        <v>108</v>
      </c>
      <c r="B1073" s="1" t="s">
        <v>183</v>
      </c>
      <c r="C1073" s="1">
        <v>32</v>
      </c>
      <c r="D1073" s="1">
        <v>5</v>
      </c>
      <c r="E1073" s="3">
        <v>50</v>
      </c>
      <c r="F1073" s="90">
        <v>10</v>
      </c>
    </row>
    <row r="1074" spans="1:6" x14ac:dyDescent="0.3">
      <c r="A1074" s="1" t="s">
        <v>108</v>
      </c>
      <c r="B1074" s="1" t="s">
        <v>5</v>
      </c>
      <c r="C1074" s="1">
        <v>0</v>
      </c>
      <c r="D1074" s="1">
        <v>45</v>
      </c>
      <c r="E1074" s="3">
        <v>0</v>
      </c>
      <c r="F1074" s="90">
        <v>0</v>
      </c>
    </row>
    <row r="1075" spans="1:6" x14ac:dyDescent="0.3">
      <c r="A1075" s="1" t="s">
        <v>108</v>
      </c>
      <c r="B1075" s="1" t="s">
        <v>5</v>
      </c>
      <c r="C1075" s="1">
        <v>11</v>
      </c>
      <c r="D1075" s="1">
        <v>130</v>
      </c>
      <c r="E1075" s="3">
        <v>1040</v>
      </c>
      <c r="F1075" s="90">
        <v>8</v>
      </c>
    </row>
    <row r="1076" spans="1:6" x14ac:dyDescent="0.3">
      <c r="A1076" s="1" t="s">
        <v>108</v>
      </c>
      <c r="B1076" s="1" t="s">
        <v>5</v>
      </c>
      <c r="C1076" s="1">
        <v>12</v>
      </c>
      <c r="D1076" s="1">
        <v>2</v>
      </c>
      <c r="E1076" s="3">
        <v>20</v>
      </c>
      <c r="F1076" s="90">
        <v>10</v>
      </c>
    </row>
    <row r="1077" spans="1:6" x14ac:dyDescent="0.3">
      <c r="A1077" s="1" t="s">
        <v>108</v>
      </c>
      <c r="B1077" s="1" t="s">
        <v>5</v>
      </c>
      <c r="C1077" s="1">
        <v>13</v>
      </c>
      <c r="D1077" s="1">
        <v>1</v>
      </c>
      <c r="E1077" s="3">
        <v>2</v>
      </c>
      <c r="F1077" s="90">
        <v>2</v>
      </c>
    </row>
    <row r="1078" spans="1:6" x14ac:dyDescent="0.3">
      <c r="A1078" s="1" t="s">
        <v>108</v>
      </c>
      <c r="B1078" s="1" t="s">
        <v>5</v>
      </c>
      <c r="C1078" s="1">
        <v>14</v>
      </c>
      <c r="D1078" s="1">
        <v>1</v>
      </c>
      <c r="E1078" s="3">
        <v>10</v>
      </c>
      <c r="F1078" s="90">
        <v>10</v>
      </c>
    </row>
    <row r="1079" spans="1:6" x14ac:dyDescent="0.3">
      <c r="A1079" s="1" t="s">
        <v>108</v>
      </c>
      <c r="B1079" s="1" t="s">
        <v>5</v>
      </c>
      <c r="C1079" s="1">
        <v>16</v>
      </c>
      <c r="D1079" s="1">
        <v>118</v>
      </c>
      <c r="E1079" s="3">
        <v>944</v>
      </c>
      <c r="F1079" s="90">
        <v>8</v>
      </c>
    </row>
    <row r="1080" spans="1:6" x14ac:dyDescent="0.3">
      <c r="A1080" s="1" t="s">
        <v>109</v>
      </c>
      <c r="B1080" s="1" t="s">
        <v>184</v>
      </c>
      <c r="C1080" s="1">
        <v>21</v>
      </c>
      <c r="D1080" s="1">
        <v>1</v>
      </c>
      <c r="E1080" s="3">
        <v>4</v>
      </c>
      <c r="F1080" s="90">
        <v>4</v>
      </c>
    </row>
    <row r="1081" spans="1:6" x14ac:dyDescent="0.3">
      <c r="A1081" s="1" t="s">
        <v>109</v>
      </c>
      <c r="B1081" s="1" t="s">
        <v>183</v>
      </c>
      <c r="C1081" s="1">
        <v>31</v>
      </c>
      <c r="D1081" s="1">
        <v>2</v>
      </c>
      <c r="E1081" s="3">
        <v>16</v>
      </c>
      <c r="F1081" s="90">
        <v>8</v>
      </c>
    </row>
    <row r="1082" spans="1:6" x14ac:dyDescent="0.3">
      <c r="A1082" s="1" t="s">
        <v>109</v>
      </c>
      <c r="B1082" s="1" t="s">
        <v>5</v>
      </c>
      <c r="C1082" s="1">
        <v>0</v>
      </c>
      <c r="D1082" s="1">
        <v>5</v>
      </c>
      <c r="E1082" s="3">
        <v>0</v>
      </c>
      <c r="F1082" s="90">
        <v>0</v>
      </c>
    </row>
    <row r="1083" spans="1:6" x14ac:dyDescent="0.3">
      <c r="A1083" s="1" t="s">
        <v>109</v>
      </c>
      <c r="B1083" s="1" t="s">
        <v>5</v>
      </c>
      <c r="C1083" s="1">
        <v>11</v>
      </c>
      <c r="D1083" s="1">
        <v>45</v>
      </c>
      <c r="E1083" s="3">
        <v>225</v>
      </c>
      <c r="F1083" s="90">
        <v>5</v>
      </c>
    </row>
    <row r="1084" spans="1:6" x14ac:dyDescent="0.3">
      <c r="A1084" s="1" t="s">
        <v>109</v>
      </c>
      <c r="B1084" s="1" t="s">
        <v>5</v>
      </c>
      <c r="C1084" s="1">
        <v>12</v>
      </c>
      <c r="D1084" s="1">
        <v>62</v>
      </c>
      <c r="E1084" s="3">
        <v>372</v>
      </c>
      <c r="F1084" s="90">
        <v>6</v>
      </c>
    </row>
    <row r="1085" spans="1:6" x14ac:dyDescent="0.3">
      <c r="A1085" s="1" t="s">
        <v>110</v>
      </c>
      <c r="B1085" s="1" t="s">
        <v>184</v>
      </c>
      <c r="C1085" s="1">
        <v>21</v>
      </c>
      <c r="D1085" s="1">
        <v>1</v>
      </c>
      <c r="E1085" s="3">
        <v>4</v>
      </c>
      <c r="F1085" s="90">
        <v>4</v>
      </c>
    </row>
    <row r="1086" spans="1:6" x14ac:dyDescent="0.3">
      <c r="A1086" s="1" t="s">
        <v>110</v>
      </c>
      <c r="B1086" s="1" t="s">
        <v>183</v>
      </c>
      <c r="C1086" s="1">
        <v>31</v>
      </c>
      <c r="D1086" s="1">
        <v>1</v>
      </c>
      <c r="E1086" s="3">
        <v>8</v>
      </c>
      <c r="F1086" s="90">
        <v>8</v>
      </c>
    </row>
    <row r="1087" spans="1:6" x14ac:dyDescent="0.3">
      <c r="A1087" s="1" t="s">
        <v>110</v>
      </c>
      <c r="B1087" s="1" t="s">
        <v>5</v>
      </c>
      <c r="C1087" s="1">
        <v>0</v>
      </c>
      <c r="D1087" s="1">
        <v>12</v>
      </c>
      <c r="E1087" s="3">
        <v>0</v>
      </c>
      <c r="F1087" s="90">
        <v>0</v>
      </c>
    </row>
    <row r="1088" spans="1:6" x14ac:dyDescent="0.3">
      <c r="A1088" s="1" t="s">
        <v>110</v>
      </c>
      <c r="B1088" s="1" t="s">
        <v>5</v>
      </c>
      <c r="C1088" s="1">
        <v>11</v>
      </c>
      <c r="D1088" s="1">
        <v>170</v>
      </c>
      <c r="E1088" s="3">
        <v>1190</v>
      </c>
      <c r="F1088" s="90">
        <v>7</v>
      </c>
    </row>
    <row r="1089" spans="1:6" x14ac:dyDescent="0.3">
      <c r="A1089" s="1" t="s">
        <v>110</v>
      </c>
      <c r="B1089" s="1" t="s">
        <v>5</v>
      </c>
      <c r="C1089" s="1">
        <v>12</v>
      </c>
      <c r="D1089" s="1">
        <v>309</v>
      </c>
      <c r="E1089" s="3">
        <v>3399</v>
      </c>
      <c r="F1089" s="90">
        <v>11</v>
      </c>
    </row>
    <row r="1090" spans="1:6" x14ac:dyDescent="0.3">
      <c r="A1090" s="1" t="s">
        <v>110</v>
      </c>
      <c r="B1090" s="1" t="s">
        <v>5</v>
      </c>
      <c r="C1090" s="1">
        <v>14</v>
      </c>
      <c r="D1090" s="1">
        <v>3</v>
      </c>
      <c r="E1090" s="3">
        <v>40</v>
      </c>
      <c r="F1090" s="90">
        <v>13.3333333333333</v>
      </c>
    </row>
    <row r="1091" spans="1:6" x14ac:dyDescent="0.3">
      <c r="A1091" s="1" t="s">
        <v>110</v>
      </c>
      <c r="B1091" s="1" t="s">
        <v>5</v>
      </c>
      <c r="C1091" s="1">
        <v>15</v>
      </c>
      <c r="D1091" s="1">
        <v>1</v>
      </c>
      <c r="E1091" s="3">
        <v>9</v>
      </c>
      <c r="F1091" s="90">
        <v>9</v>
      </c>
    </row>
    <row r="1092" spans="1:6" x14ac:dyDescent="0.3">
      <c r="A1092" s="1" t="s">
        <v>111</v>
      </c>
      <c r="B1092" s="1" t="s">
        <v>184</v>
      </c>
      <c r="C1092" s="1">
        <v>0</v>
      </c>
      <c r="D1092" s="1">
        <v>1</v>
      </c>
      <c r="E1092" s="3">
        <v>0</v>
      </c>
      <c r="F1092" s="90">
        <v>0</v>
      </c>
    </row>
    <row r="1093" spans="1:6" x14ac:dyDescent="0.3">
      <c r="A1093" s="1" t="s">
        <v>111</v>
      </c>
      <c r="B1093" s="1" t="s">
        <v>184</v>
      </c>
      <c r="C1093" s="1">
        <v>21</v>
      </c>
      <c r="D1093" s="1">
        <v>2</v>
      </c>
      <c r="E1093" s="3">
        <v>8</v>
      </c>
      <c r="F1093" s="90">
        <v>4</v>
      </c>
    </row>
    <row r="1094" spans="1:6" x14ac:dyDescent="0.3">
      <c r="A1094" s="1" t="s">
        <v>111</v>
      </c>
      <c r="B1094" s="1" t="s">
        <v>184</v>
      </c>
      <c r="C1094" s="1">
        <v>22</v>
      </c>
      <c r="D1094" s="1">
        <v>2</v>
      </c>
      <c r="E1094" s="3">
        <v>8</v>
      </c>
      <c r="F1094" s="90">
        <v>4</v>
      </c>
    </row>
    <row r="1095" spans="1:6" x14ac:dyDescent="0.3">
      <c r="A1095" s="1" t="s">
        <v>111</v>
      </c>
      <c r="B1095" s="1" t="s">
        <v>183</v>
      </c>
      <c r="C1095" s="1">
        <v>31</v>
      </c>
      <c r="D1095" s="1">
        <v>3</v>
      </c>
      <c r="E1095" s="3">
        <v>24</v>
      </c>
      <c r="F1095" s="90">
        <v>8</v>
      </c>
    </row>
    <row r="1096" spans="1:6" x14ac:dyDescent="0.3">
      <c r="A1096" s="1" t="s">
        <v>111</v>
      </c>
      <c r="B1096" s="1" t="s">
        <v>183</v>
      </c>
      <c r="C1096" s="1">
        <v>32</v>
      </c>
      <c r="D1096" s="1">
        <v>1</v>
      </c>
      <c r="E1096" s="3">
        <v>10</v>
      </c>
      <c r="F1096" s="90">
        <v>10</v>
      </c>
    </row>
    <row r="1097" spans="1:6" x14ac:dyDescent="0.3">
      <c r="A1097" s="1" t="s">
        <v>111</v>
      </c>
      <c r="B1097" s="1" t="s">
        <v>5</v>
      </c>
      <c r="C1097" s="1">
        <v>0</v>
      </c>
      <c r="D1097" s="1">
        <v>26</v>
      </c>
      <c r="E1097" s="3">
        <v>0</v>
      </c>
      <c r="F1097" s="90">
        <v>0</v>
      </c>
    </row>
    <row r="1098" spans="1:6" x14ac:dyDescent="0.3">
      <c r="A1098" s="1" t="s">
        <v>111</v>
      </c>
      <c r="B1098" s="1" t="s">
        <v>5</v>
      </c>
      <c r="C1098" s="1">
        <v>11</v>
      </c>
      <c r="D1098" s="1">
        <v>168</v>
      </c>
      <c r="E1098" s="3">
        <v>336</v>
      </c>
      <c r="F1098" s="90">
        <v>2</v>
      </c>
    </row>
    <row r="1099" spans="1:6" x14ac:dyDescent="0.3">
      <c r="A1099" s="1" t="s">
        <v>111</v>
      </c>
      <c r="B1099" s="1" t="s">
        <v>5</v>
      </c>
      <c r="C1099" s="1">
        <v>12</v>
      </c>
      <c r="D1099" s="1">
        <v>241</v>
      </c>
      <c r="E1099" s="3">
        <v>1205</v>
      </c>
      <c r="F1099" s="90">
        <v>5</v>
      </c>
    </row>
    <row r="1100" spans="1:6" x14ac:dyDescent="0.3">
      <c r="A1100" s="1" t="s">
        <v>111</v>
      </c>
      <c r="B1100" s="1" t="s">
        <v>5</v>
      </c>
      <c r="C1100" s="1">
        <v>14</v>
      </c>
      <c r="D1100" s="1">
        <v>2</v>
      </c>
      <c r="E1100" s="3">
        <v>20</v>
      </c>
      <c r="F1100" s="90">
        <v>10</v>
      </c>
    </row>
    <row r="1101" spans="1:6" x14ac:dyDescent="0.3">
      <c r="A1101" s="1" t="s">
        <v>111</v>
      </c>
      <c r="B1101" s="1" t="s">
        <v>5</v>
      </c>
      <c r="C1101" s="1">
        <v>15</v>
      </c>
      <c r="D1101" s="1">
        <v>3</v>
      </c>
      <c r="E1101" s="3">
        <v>24</v>
      </c>
      <c r="F1101" s="90">
        <v>8</v>
      </c>
    </row>
    <row r="1102" spans="1:6" x14ac:dyDescent="0.3">
      <c r="A1102" s="1" t="s">
        <v>111</v>
      </c>
      <c r="B1102" s="1" t="s">
        <v>5</v>
      </c>
      <c r="C1102" s="1">
        <v>16</v>
      </c>
      <c r="D1102" s="1">
        <v>2</v>
      </c>
      <c r="E1102" s="3">
        <v>25</v>
      </c>
      <c r="F1102" s="90">
        <v>12.5</v>
      </c>
    </row>
    <row r="1103" spans="1:6" x14ac:dyDescent="0.3">
      <c r="A1103" s="1" t="s">
        <v>112</v>
      </c>
      <c r="B1103" s="1" t="s">
        <v>184</v>
      </c>
      <c r="C1103" s="1">
        <v>22</v>
      </c>
      <c r="D1103" s="1">
        <v>2</v>
      </c>
      <c r="E1103" s="3">
        <v>8</v>
      </c>
      <c r="F1103" s="90">
        <v>4</v>
      </c>
    </row>
    <row r="1104" spans="1:6" x14ac:dyDescent="0.3">
      <c r="A1104" s="1" t="s">
        <v>112</v>
      </c>
      <c r="B1104" s="1" t="s">
        <v>183</v>
      </c>
      <c r="C1104" s="1">
        <v>0</v>
      </c>
      <c r="D1104" s="1">
        <v>1</v>
      </c>
      <c r="E1104" s="3">
        <v>0</v>
      </c>
      <c r="F1104" s="90">
        <v>0</v>
      </c>
    </row>
    <row r="1105" spans="1:6" x14ac:dyDescent="0.3">
      <c r="A1105" s="1" t="s">
        <v>112</v>
      </c>
      <c r="B1105" s="1" t="s">
        <v>183</v>
      </c>
      <c r="C1105" s="1">
        <v>31</v>
      </c>
      <c r="D1105" s="1">
        <v>4</v>
      </c>
      <c r="E1105" s="3">
        <v>32</v>
      </c>
      <c r="F1105" s="90">
        <v>8</v>
      </c>
    </row>
    <row r="1106" spans="1:6" x14ac:dyDescent="0.3">
      <c r="A1106" s="1" t="s">
        <v>112</v>
      </c>
      <c r="B1106" s="1" t="s">
        <v>183</v>
      </c>
      <c r="C1106" s="1">
        <v>32</v>
      </c>
      <c r="D1106" s="1">
        <v>9</v>
      </c>
      <c r="E1106" s="3">
        <v>90</v>
      </c>
      <c r="F1106" s="90">
        <v>10</v>
      </c>
    </row>
    <row r="1107" spans="1:6" x14ac:dyDescent="0.3">
      <c r="A1107" s="1" t="s">
        <v>112</v>
      </c>
      <c r="B1107" s="1" t="s">
        <v>5</v>
      </c>
      <c r="C1107" s="1">
        <v>0</v>
      </c>
      <c r="D1107" s="1">
        <v>18</v>
      </c>
      <c r="E1107" s="3">
        <v>0</v>
      </c>
      <c r="F1107" s="90">
        <v>0</v>
      </c>
    </row>
    <row r="1108" spans="1:6" x14ac:dyDescent="0.3">
      <c r="A1108" s="1" t="s">
        <v>112</v>
      </c>
      <c r="B1108" s="1" t="s">
        <v>5</v>
      </c>
      <c r="C1108" s="1">
        <v>11</v>
      </c>
      <c r="D1108" s="1">
        <v>24</v>
      </c>
      <c r="E1108" s="3">
        <v>192</v>
      </c>
      <c r="F1108" s="90">
        <v>8</v>
      </c>
    </row>
    <row r="1109" spans="1:6" x14ac:dyDescent="0.3">
      <c r="A1109" s="1" t="s">
        <v>112</v>
      </c>
      <c r="B1109" s="1" t="s">
        <v>5</v>
      </c>
      <c r="C1109" s="1">
        <v>12</v>
      </c>
      <c r="D1109" s="1">
        <v>26</v>
      </c>
      <c r="E1109" s="3">
        <v>260</v>
      </c>
      <c r="F1109" s="90">
        <v>10</v>
      </c>
    </row>
    <row r="1110" spans="1:6" x14ac:dyDescent="0.3">
      <c r="A1110" s="1" t="s">
        <v>112</v>
      </c>
      <c r="B1110" s="1" t="s">
        <v>5</v>
      </c>
      <c r="C1110" s="1">
        <v>16</v>
      </c>
      <c r="D1110" s="1">
        <v>1</v>
      </c>
      <c r="E1110" s="3">
        <v>14</v>
      </c>
      <c r="F1110" s="90">
        <v>14</v>
      </c>
    </row>
    <row r="1111" spans="1:6" x14ac:dyDescent="0.3">
      <c r="A1111" s="1" t="s">
        <v>113</v>
      </c>
      <c r="B1111" s="1" t="s">
        <v>184</v>
      </c>
      <c r="C1111" s="1">
        <v>0</v>
      </c>
      <c r="D1111" s="1">
        <v>1</v>
      </c>
      <c r="E1111" s="3">
        <v>0</v>
      </c>
      <c r="F1111" s="90">
        <v>0</v>
      </c>
    </row>
    <row r="1112" spans="1:6" x14ac:dyDescent="0.3">
      <c r="A1112" s="1" t="s">
        <v>113</v>
      </c>
      <c r="B1112" s="1" t="s">
        <v>184</v>
      </c>
      <c r="C1112" s="1">
        <v>21</v>
      </c>
      <c r="D1112" s="1">
        <v>1</v>
      </c>
      <c r="E1112" s="3">
        <v>4</v>
      </c>
      <c r="F1112" s="90">
        <v>4</v>
      </c>
    </row>
    <row r="1113" spans="1:6" x14ac:dyDescent="0.3">
      <c r="A1113" s="1" t="s">
        <v>113</v>
      </c>
      <c r="B1113" s="1" t="s">
        <v>184</v>
      </c>
      <c r="C1113" s="1">
        <v>22</v>
      </c>
      <c r="D1113" s="1">
        <v>4</v>
      </c>
      <c r="E1113" s="3">
        <v>16</v>
      </c>
      <c r="F1113" s="90">
        <v>4</v>
      </c>
    </row>
    <row r="1114" spans="1:6" x14ac:dyDescent="0.3">
      <c r="A1114" s="1" t="s">
        <v>113</v>
      </c>
      <c r="B1114" s="1" t="s">
        <v>183</v>
      </c>
      <c r="C1114" s="1">
        <v>0</v>
      </c>
      <c r="D1114" s="1">
        <v>1</v>
      </c>
      <c r="E1114" s="3">
        <v>0</v>
      </c>
      <c r="F1114" s="90">
        <v>0</v>
      </c>
    </row>
    <row r="1115" spans="1:6" x14ac:dyDescent="0.3">
      <c r="A1115" s="1" t="s">
        <v>113</v>
      </c>
      <c r="B1115" s="1" t="s">
        <v>183</v>
      </c>
      <c r="C1115" s="1">
        <v>31</v>
      </c>
      <c r="D1115" s="1">
        <v>4</v>
      </c>
      <c r="E1115" s="3">
        <v>32</v>
      </c>
      <c r="F1115" s="90">
        <v>8</v>
      </c>
    </row>
    <row r="1116" spans="1:6" x14ac:dyDescent="0.3">
      <c r="A1116" s="1" t="s">
        <v>113</v>
      </c>
      <c r="B1116" s="1" t="s">
        <v>183</v>
      </c>
      <c r="C1116" s="1">
        <v>35</v>
      </c>
      <c r="D1116" s="1">
        <v>1</v>
      </c>
      <c r="E1116" s="3">
        <v>5</v>
      </c>
      <c r="F1116" s="90">
        <v>5</v>
      </c>
    </row>
    <row r="1117" spans="1:6" x14ac:dyDescent="0.3">
      <c r="A1117" s="1" t="s">
        <v>113</v>
      </c>
      <c r="B1117" s="1" t="s">
        <v>5</v>
      </c>
      <c r="C1117" s="1">
        <v>0</v>
      </c>
      <c r="D1117" s="1">
        <v>210</v>
      </c>
      <c r="E1117" s="3">
        <v>0</v>
      </c>
      <c r="F1117" s="90">
        <v>0</v>
      </c>
    </row>
    <row r="1118" spans="1:6" x14ac:dyDescent="0.3">
      <c r="A1118" s="1" t="s">
        <v>113</v>
      </c>
      <c r="B1118" s="1" t="s">
        <v>5</v>
      </c>
      <c r="C1118" s="1">
        <v>11</v>
      </c>
      <c r="D1118" s="1">
        <v>26</v>
      </c>
      <c r="E1118" s="3">
        <v>52</v>
      </c>
      <c r="F1118" s="90">
        <v>2</v>
      </c>
    </row>
    <row r="1119" spans="1:6" x14ac:dyDescent="0.3">
      <c r="A1119" s="1" t="s">
        <v>113</v>
      </c>
      <c r="B1119" s="1" t="s">
        <v>5</v>
      </c>
      <c r="C1119" s="1">
        <v>12</v>
      </c>
      <c r="D1119" s="1">
        <v>39</v>
      </c>
      <c r="E1119" s="3">
        <v>195</v>
      </c>
      <c r="F1119" s="90">
        <v>5</v>
      </c>
    </row>
    <row r="1120" spans="1:6" x14ac:dyDescent="0.3">
      <c r="A1120" s="1" t="s">
        <v>113</v>
      </c>
      <c r="B1120" s="1" t="s">
        <v>5</v>
      </c>
      <c r="C1120" s="1">
        <v>14</v>
      </c>
      <c r="D1120" s="1">
        <v>2</v>
      </c>
      <c r="E1120" s="3">
        <v>16</v>
      </c>
      <c r="F1120" s="90">
        <v>8</v>
      </c>
    </row>
    <row r="1121" spans="1:6" x14ac:dyDescent="0.3">
      <c r="A1121" s="1" t="s">
        <v>114</v>
      </c>
      <c r="B1121" s="1" t="s">
        <v>184</v>
      </c>
      <c r="C1121" s="1">
        <v>21</v>
      </c>
      <c r="D1121" s="1">
        <v>1</v>
      </c>
      <c r="E1121" s="3">
        <v>4</v>
      </c>
      <c r="F1121" s="90">
        <v>4</v>
      </c>
    </row>
    <row r="1122" spans="1:6" x14ac:dyDescent="0.3">
      <c r="A1122" s="1" t="s">
        <v>114</v>
      </c>
      <c r="B1122" s="1" t="s">
        <v>183</v>
      </c>
      <c r="C1122" s="1">
        <v>31</v>
      </c>
      <c r="D1122" s="1">
        <v>3</v>
      </c>
      <c r="E1122" s="3">
        <v>24</v>
      </c>
      <c r="F1122" s="90">
        <v>8</v>
      </c>
    </row>
    <row r="1123" spans="1:6" x14ac:dyDescent="0.3">
      <c r="A1123" s="1" t="s">
        <v>114</v>
      </c>
      <c r="B1123" s="1" t="s">
        <v>5</v>
      </c>
      <c r="C1123" s="1">
        <v>0</v>
      </c>
      <c r="D1123" s="1">
        <v>2</v>
      </c>
      <c r="E1123" s="3">
        <v>0</v>
      </c>
      <c r="F1123" s="90">
        <v>0</v>
      </c>
    </row>
    <row r="1124" spans="1:6" x14ac:dyDescent="0.3">
      <c r="A1124" s="1" t="s">
        <v>114</v>
      </c>
      <c r="B1124" s="1" t="s">
        <v>5</v>
      </c>
      <c r="C1124" s="1">
        <v>11</v>
      </c>
      <c r="D1124" s="1">
        <v>12</v>
      </c>
      <c r="E1124" s="3">
        <v>60</v>
      </c>
      <c r="F1124" s="90">
        <v>5</v>
      </c>
    </row>
    <row r="1125" spans="1:6" x14ac:dyDescent="0.3">
      <c r="A1125" s="1" t="s">
        <v>114</v>
      </c>
      <c r="B1125" s="1" t="s">
        <v>5</v>
      </c>
      <c r="C1125" s="1">
        <v>12</v>
      </c>
      <c r="D1125" s="1">
        <v>7</v>
      </c>
      <c r="E1125" s="3">
        <v>42</v>
      </c>
      <c r="F1125" s="90">
        <v>6</v>
      </c>
    </row>
    <row r="1126" spans="1:6" x14ac:dyDescent="0.3">
      <c r="A1126" s="1" t="s">
        <v>115</v>
      </c>
      <c r="B1126" s="1" t="s">
        <v>184</v>
      </c>
      <c r="C1126" s="1">
        <v>21</v>
      </c>
      <c r="D1126" s="1">
        <v>1</v>
      </c>
      <c r="E1126" s="3">
        <v>4</v>
      </c>
      <c r="F1126" s="90">
        <v>4</v>
      </c>
    </row>
    <row r="1127" spans="1:6" x14ac:dyDescent="0.3">
      <c r="A1127" s="1" t="s">
        <v>115</v>
      </c>
      <c r="B1127" s="1" t="s">
        <v>184</v>
      </c>
      <c r="C1127" s="1">
        <v>22</v>
      </c>
      <c r="D1127" s="1">
        <v>1</v>
      </c>
      <c r="E1127" s="3">
        <v>4</v>
      </c>
      <c r="F1127" s="90">
        <v>4</v>
      </c>
    </row>
    <row r="1128" spans="1:6" x14ac:dyDescent="0.3">
      <c r="A1128" s="1" t="s">
        <v>115</v>
      </c>
      <c r="B1128" s="1" t="s">
        <v>5</v>
      </c>
      <c r="C1128" s="1">
        <v>0</v>
      </c>
      <c r="D1128" s="1">
        <v>72</v>
      </c>
      <c r="E1128" s="3">
        <v>0</v>
      </c>
      <c r="F1128" s="90">
        <v>0</v>
      </c>
    </row>
    <row r="1129" spans="1:6" x14ac:dyDescent="0.3">
      <c r="A1129" s="1" t="s">
        <v>115</v>
      </c>
      <c r="B1129" s="1" t="s">
        <v>5</v>
      </c>
      <c r="C1129" s="1">
        <v>11</v>
      </c>
      <c r="D1129" s="1">
        <v>41</v>
      </c>
      <c r="E1129" s="3">
        <v>82</v>
      </c>
      <c r="F1129" s="90">
        <v>2</v>
      </c>
    </row>
    <row r="1130" spans="1:6" x14ac:dyDescent="0.3">
      <c r="A1130" s="1" t="s">
        <v>115</v>
      </c>
      <c r="B1130" s="1" t="s">
        <v>5</v>
      </c>
      <c r="C1130" s="1">
        <v>12</v>
      </c>
      <c r="D1130" s="1">
        <v>33</v>
      </c>
      <c r="E1130" s="3">
        <v>132</v>
      </c>
      <c r="F1130" s="90">
        <v>4</v>
      </c>
    </row>
    <row r="1131" spans="1:6" x14ac:dyDescent="0.3">
      <c r="A1131" s="1" t="s">
        <v>115</v>
      </c>
      <c r="B1131" s="1" t="s">
        <v>5</v>
      </c>
      <c r="C1131" s="1">
        <v>14</v>
      </c>
      <c r="D1131" s="1">
        <v>1</v>
      </c>
      <c r="E1131" s="3">
        <v>4</v>
      </c>
      <c r="F1131" s="90">
        <v>4</v>
      </c>
    </row>
    <row r="1132" spans="1:6" x14ac:dyDescent="0.3">
      <c r="A1132" s="1" t="s">
        <v>116</v>
      </c>
      <c r="B1132" s="1" t="s">
        <v>184</v>
      </c>
      <c r="C1132" s="1">
        <v>21</v>
      </c>
      <c r="D1132" s="1">
        <v>1</v>
      </c>
      <c r="E1132" s="3">
        <v>4</v>
      </c>
      <c r="F1132" s="90">
        <v>4</v>
      </c>
    </row>
    <row r="1133" spans="1:6" x14ac:dyDescent="0.3">
      <c r="A1133" s="1" t="s">
        <v>116</v>
      </c>
      <c r="B1133" s="1" t="s">
        <v>184</v>
      </c>
      <c r="C1133" s="1">
        <v>22</v>
      </c>
      <c r="D1133" s="1">
        <v>1</v>
      </c>
      <c r="E1133" s="3">
        <v>4</v>
      </c>
      <c r="F1133" s="90">
        <v>4</v>
      </c>
    </row>
    <row r="1134" spans="1:6" x14ac:dyDescent="0.3">
      <c r="A1134" s="1" t="s">
        <v>116</v>
      </c>
      <c r="B1134" s="1" t="s">
        <v>183</v>
      </c>
      <c r="C1134" s="1">
        <v>31</v>
      </c>
      <c r="D1134" s="1">
        <v>2</v>
      </c>
      <c r="E1134" s="3">
        <v>16</v>
      </c>
      <c r="F1134" s="90">
        <v>8</v>
      </c>
    </row>
    <row r="1135" spans="1:6" x14ac:dyDescent="0.3">
      <c r="A1135" s="1" t="s">
        <v>116</v>
      </c>
      <c r="B1135" s="1" t="s">
        <v>183</v>
      </c>
      <c r="C1135" s="1">
        <v>32</v>
      </c>
      <c r="D1135" s="1">
        <v>1</v>
      </c>
      <c r="E1135" s="3">
        <v>10</v>
      </c>
      <c r="F1135" s="90">
        <v>10</v>
      </c>
    </row>
    <row r="1136" spans="1:6" x14ac:dyDescent="0.3">
      <c r="A1136" s="1" t="s">
        <v>116</v>
      </c>
      <c r="B1136" s="1" t="s">
        <v>5</v>
      </c>
      <c r="C1136" s="1">
        <v>0</v>
      </c>
      <c r="D1136" s="1">
        <v>2</v>
      </c>
      <c r="E1136" s="3">
        <v>0</v>
      </c>
      <c r="F1136" s="90">
        <v>0</v>
      </c>
    </row>
    <row r="1137" spans="1:6" x14ac:dyDescent="0.3">
      <c r="A1137" s="1" t="s">
        <v>116</v>
      </c>
      <c r="B1137" s="1" t="s">
        <v>5</v>
      </c>
      <c r="C1137" s="1">
        <v>11</v>
      </c>
      <c r="D1137" s="1">
        <v>8</v>
      </c>
      <c r="E1137" s="3">
        <v>56</v>
      </c>
      <c r="F1137" s="90">
        <v>7</v>
      </c>
    </row>
    <row r="1138" spans="1:6" x14ac:dyDescent="0.3">
      <c r="A1138" s="1" t="s">
        <v>116</v>
      </c>
      <c r="B1138" s="1" t="s">
        <v>5</v>
      </c>
      <c r="C1138" s="1">
        <v>12</v>
      </c>
      <c r="D1138" s="1">
        <v>7</v>
      </c>
      <c r="E1138" s="3">
        <v>49</v>
      </c>
      <c r="F1138" s="90">
        <v>7</v>
      </c>
    </row>
    <row r="1139" spans="1:6" x14ac:dyDescent="0.3">
      <c r="A1139" s="1" t="s">
        <v>117</v>
      </c>
      <c r="B1139" s="1" t="s">
        <v>184</v>
      </c>
      <c r="C1139" s="1">
        <v>21</v>
      </c>
      <c r="D1139" s="1">
        <v>4</v>
      </c>
      <c r="E1139" s="3">
        <v>16</v>
      </c>
      <c r="F1139" s="90">
        <v>4</v>
      </c>
    </row>
    <row r="1140" spans="1:6" x14ac:dyDescent="0.3">
      <c r="A1140" s="1" t="s">
        <v>117</v>
      </c>
      <c r="B1140" s="1" t="s">
        <v>183</v>
      </c>
      <c r="C1140" s="1">
        <v>31</v>
      </c>
      <c r="D1140" s="1">
        <v>3</v>
      </c>
      <c r="E1140" s="3">
        <v>24</v>
      </c>
      <c r="F1140" s="90">
        <v>8</v>
      </c>
    </row>
    <row r="1141" spans="1:6" x14ac:dyDescent="0.3">
      <c r="A1141" s="1" t="s">
        <v>117</v>
      </c>
      <c r="B1141" s="1" t="s">
        <v>5</v>
      </c>
      <c r="C1141" s="1">
        <v>0</v>
      </c>
      <c r="D1141" s="1">
        <v>4</v>
      </c>
      <c r="E1141" s="3">
        <v>0</v>
      </c>
      <c r="F1141" s="90">
        <v>0</v>
      </c>
    </row>
    <row r="1142" spans="1:6" x14ac:dyDescent="0.3">
      <c r="A1142" s="1" t="s">
        <v>117</v>
      </c>
      <c r="B1142" s="1" t="s">
        <v>5</v>
      </c>
      <c r="C1142" s="1">
        <v>11</v>
      </c>
      <c r="D1142" s="1">
        <v>7</v>
      </c>
      <c r="E1142" s="3">
        <v>56</v>
      </c>
      <c r="F1142" s="90">
        <v>8</v>
      </c>
    </row>
    <row r="1143" spans="1:6" x14ac:dyDescent="0.3">
      <c r="A1143" s="1" t="s">
        <v>117</v>
      </c>
      <c r="B1143" s="1" t="s">
        <v>5</v>
      </c>
      <c r="C1143" s="1">
        <v>12</v>
      </c>
      <c r="D1143" s="1">
        <v>5</v>
      </c>
      <c r="E1143" s="3">
        <v>40</v>
      </c>
      <c r="F1143" s="90">
        <v>8</v>
      </c>
    </row>
    <row r="1144" spans="1:6" x14ac:dyDescent="0.3">
      <c r="A1144" s="1" t="s">
        <v>118</v>
      </c>
      <c r="B1144" s="1" t="s">
        <v>5</v>
      </c>
      <c r="C1144" s="1">
        <v>11</v>
      </c>
      <c r="D1144" s="1">
        <v>3</v>
      </c>
      <c r="E1144" s="3">
        <v>15</v>
      </c>
      <c r="F1144" s="90">
        <v>5</v>
      </c>
    </row>
    <row r="1145" spans="1:6" x14ac:dyDescent="0.3">
      <c r="A1145" s="1" t="s">
        <v>118</v>
      </c>
      <c r="B1145" s="1" t="s">
        <v>5</v>
      </c>
      <c r="C1145" s="1">
        <v>12</v>
      </c>
      <c r="D1145" s="1">
        <v>3</v>
      </c>
      <c r="E1145" s="3">
        <v>15</v>
      </c>
      <c r="F1145" s="90">
        <v>5</v>
      </c>
    </row>
    <row r="1146" spans="1:6" x14ac:dyDescent="0.3">
      <c r="A1146" s="1" t="s">
        <v>119</v>
      </c>
      <c r="B1146" s="1" t="s">
        <v>5</v>
      </c>
      <c r="C1146" s="1">
        <v>11</v>
      </c>
      <c r="D1146" s="1">
        <v>4</v>
      </c>
      <c r="E1146" s="3">
        <v>28</v>
      </c>
      <c r="F1146" s="90">
        <v>7</v>
      </c>
    </row>
    <row r="1147" spans="1:6" x14ac:dyDescent="0.3">
      <c r="A1147" s="1" t="s">
        <v>119</v>
      </c>
      <c r="B1147" s="1" t="s">
        <v>5</v>
      </c>
      <c r="C1147" s="1">
        <v>12</v>
      </c>
      <c r="D1147" s="1">
        <v>5</v>
      </c>
      <c r="E1147" s="3">
        <v>35</v>
      </c>
      <c r="F1147" s="90">
        <v>7</v>
      </c>
    </row>
    <row r="1148" spans="1:6" x14ac:dyDescent="0.3">
      <c r="A1148" s="1" t="s">
        <v>120</v>
      </c>
      <c r="B1148" s="1" t="s">
        <v>184</v>
      </c>
      <c r="C1148" s="1">
        <v>21</v>
      </c>
      <c r="D1148" s="1">
        <v>1</v>
      </c>
      <c r="E1148" s="3">
        <v>4</v>
      </c>
      <c r="F1148" s="90">
        <v>4</v>
      </c>
    </row>
    <row r="1149" spans="1:6" x14ac:dyDescent="0.3">
      <c r="A1149" s="1" t="s">
        <v>120</v>
      </c>
      <c r="B1149" s="1" t="s">
        <v>183</v>
      </c>
      <c r="C1149" s="1">
        <v>31</v>
      </c>
      <c r="D1149" s="1">
        <v>1</v>
      </c>
      <c r="E1149" s="3">
        <v>8</v>
      </c>
      <c r="F1149" s="90">
        <v>8</v>
      </c>
    </row>
    <row r="1150" spans="1:6" x14ac:dyDescent="0.3">
      <c r="A1150" s="1" t="s">
        <v>120</v>
      </c>
      <c r="B1150" s="1" t="s">
        <v>5</v>
      </c>
      <c r="C1150" s="1">
        <v>11</v>
      </c>
      <c r="D1150" s="1">
        <v>15</v>
      </c>
      <c r="E1150" s="3">
        <v>30</v>
      </c>
      <c r="F1150" s="90">
        <v>2</v>
      </c>
    </row>
    <row r="1151" spans="1:6" x14ac:dyDescent="0.3">
      <c r="A1151" s="1" t="s">
        <v>120</v>
      </c>
      <c r="B1151" s="1" t="s">
        <v>5</v>
      </c>
      <c r="C1151" s="1">
        <v>12</v>
      </c>
      <c r="D1151" s="1">
        <v>14</v>
      </c>
      <c r="E1151" s="3">
        <v>56</v>
      </c>
      <c r="F1151" s="90">
        <v>4</v>
      </c>
    </row>
    <row r="1152" spans="1:6" x14ac:dyDescent="0.3">
      <c r="A1152" s="1" t="s">
        <v>120</v>
      </c>
      <c r="B1152" s="1" t="s">
        <v>5</v>
      </c>
      <c r="C1152" s="1">
        <v>14</v>
      </c>
      <c r="D1152" s="1">
        <v>1</v>
      </c>
      <c r="E1152" s="3">
        <v>8</v>
      </c>
      <c r="F1152" s="90">
        <v>8</v>
      </c>
    </row>
    <row r="1153" spans="1:6" x14ac:dyDescent="0.3">
      <c r="A1153" s="1" t="s">
        <v>120</v>
      </c>
      <c r="B1153" s="1" t="s">
        <v>5</v>
      </c>
      <c r="C1153" s="1">
        <v>16</v>
      </c>
      <c r="D1153" s="1">
        <v>1</v>
      </c>
      <c r="E1153" s="3">
        <v>8</v>
      </c>
      <c r="F1153" s="90">
        <v>8</v>
      </c>
    </row>
    <row r="1154" spans="1:6" x14ac:dyDescent="0.3">
      <c r="A1154" s="1" t="s">
        <v>121</v>
      </c>
      <c r="B1154" s="1" t="s">
        <v>184</v>
      </c>
      <c r="C1154" s="1">
        <v>21</v>
      </c>
      <c r="D1154" s="1">
        <v>1</v>
      </c>
      <c r="E1154" s="3">
        <v>4</v>
      </c>
      <c r="F1154" s="90">
        <v>4</v>
      </c>
    </row>
    <row r="1155" spans="1:6" x14ac:dyDescent="0.3">
      <c r="A1155" s="1" t="s">
        <v>121</v>
      </c>
      <c r="B1155" s="1" t="s">
        <v>183</v>
      </c>
      <c r="C1155" s="1">
        <v>31</v>
      </c>
      <c r="D1155" s="1">
        <v>1</v>
      </c>
      <c r="E1155" s="3">
        <v>8</v>
      </c>
      <c r="F1155" s="90">
        <v>8</v>
      </c>
    </row>
    <row r="1156" spans="1:6" x14ac:dyDescent="0.3">
      <c r="A1156" s="1" t="s">
        <v>121</v>
      </c>
      <c r="B1156" s="1" t="s">
        <v>5</v>
      </c>
      <c r="C1156" s="1">
        <v>11</v>
      </c>
      <c r="D1156" s="1">
        <v>5</v>
      </c>
      <c r="E1156" s="3">
        <v>40</v>
      </c>
      <c r="F1156" s="90">
        <v>8</v>
      </c>
    </row>
    <row r="1157" spans="1:6" x14ac:dyDescent="0.3">
      <c r="A1157" s="1" t="s">
        <v>121</v>
      </c>
      <c r="B1157" s="1" t="s">
        <v>5</v>
      </c>
      <c r="C1157" s="1">
        <v>12</v>
      </c>
      <c r="D1157" s="1">
        <v>1</v>
      </c>
      <c r="E1157" s="3">
        <v>8</v>
      </c>
      <c r="F1157" s="90">
        <v>8</v>
      </c>
    </row>
    <row r="1158" spans="1:6" x14ac:dyDescent="0.3">
      <c r="A1158" s="1" t="s">
        <v>122</v>
      </c>
      <c r="B1158" s="1" t="s">
        <v>184</v>
      </c>
      <c r="C1158" s="1">
        <v>22</v>
      </c>
      <c r="D1158" s="1">
        <v>1</v>
      </c>
      <c r="E1158" s="3">
        <v>4</v>
      </c>
      <c r="F1158" s="90">
        <v>4</v>
      </c>
    </row>
    <row r="1159" spans="1:6" x14ac:dyDescent="0.3">
      <c r="A1159" s="1" t="s">
        <v>122</v>
      </c>
      <c r="B1159" s="1" t="s">
        <v>183</v>
      </c>
      <c r="C1159" s="1">
        <v>31</v>
      </c>
      <c r="D1159" s="1">
        <v>2</v>
      </c>
      <c r="E1159" s="3">
        <v>16</v>
      </c>
      <c r="F1159" s="90">
        <v>8</v>
      </c>
    </row>
    <row r="1160" spans="1:6" x14ac:dyDescent="0.3">
      <c r="A1160" s="1" t="s">
        <v>122</v>
      </c>
      <c r="B1160" s="1" t="s">
        <v>5</v>
      </c>
      <c r="C1160" s="1">
        <v>0</v>
      </c>
      <c r="D1160" s="1">
        <v>10</v>
      </c>
      <c r="E1160" s="3">
        <v>0</v>
      </c>
      <c r="F1160" s="90">
        <v>0</v>
      </c>
    </row>
    <row r="1161" spans="1:6" x14ac:dyDescent="0.3">
      <c r="A1161" s="1" t="s">
        <v>122</v>
      </c>
      <c r="B1161" s="1" t="s">
        <v>5</v>
      </c>
      <c r="C1161" s="1">
        <v>11</v>
      </c>
      <c r="D1161" s="1">
        <v>1</v>
      </c>
      <c r="E1161" s="3">
        <v>2</v>
      </c>
      <c r="F1161" s="90">
        <v>2</v>
      </c>
    </row>
    <row r="1162" spans="1:6" x14ac:dyDescent="0.3">
      <c r="A1162" s="1" t="s">
        <v>122</v>
      </c>
      <c r="B1162" s="1" t="s">
        <v>5</v>
      </c>
      <c r="C1162" s="1">
        <v>12</v>
      </c>
      <c r="D1162" s="1">
        <v>3</v>
      </c>
      <c r="E1162" s="3">
        <v>15</v>
      </c>
      <c r="F1162" s="90">
        <v>5</v>
      </c>
    </row>
    <row r="1163" spans="1:6" x14ac:dyDescent="0.3">
      <c r="A1163" s="1" t="s">
        <v>123</v>
      </c>
      <c r="B1163" s="1" t="s">
        <v>5</v>
      </c>
      <c r="C1163" s="1">
        <v>0</v>
      </c>
      <c r="D1163" s="1">
        <v>3</v>
      </c>
      <c r="E1163" s="3">
        <v>0</v>
      </c>
      <c r="F1163" s="90">
        <v>0</v>
      </c>
    </row>
    <row r="1164" spans="1:6" x14ac:dyDescent="0.3">
      <c r="A1164" s="1" t="s">
        <v>123</v>
      </c>
      <c r="B1164" s="1" t="s">
        <v>5</v>
      </c>
      <c r="C1164" s="1">
        <v>11</v>
      </c>
      <c r="D1164" s="1">
        <v>2</v>
      </c>
      <c r="E1164" s="3">
        <v>4</v>
      </c>
      <c r="F1164" s="90">
        <v>2</v>
      </c>
    </row>
    <row r="1165" spans="1:6" x14ac:dyDescent="0.3">
      <c r="A1165" s="1" t="s">
        <v>124</v>
      </c>
      <c r="B1165" s="1" t="s">
        <v>184</v>
      </c>
      <c r="C1165" s="1">
        <v>21</v>
      </c>
      <c r="D1165" s="1">
        <v>30</v>
      </c>
      <c r="E1165" s="3">
        <v>120</v>
      </c>
      <c r="F1165" s="90">
        <v>4</v>
      </c>
    </row>
    <row r="1166" spans="1:6" x14ac:dyDescent="0.3">
      <c r="A1166" s="1" t="s">
        <v>124</v>
      </c>
      <c r="B1166" s="1" t="s">
        <v>184</v>
      </c>
      <c r="C1166" s="1">
        <v>22</v>
      </c>
      <c r="D1166" s="1">
        <v>20</v>
      </c>
      <c r="E1166" s="3">
        <v>80</v>
      </c>
      <c r="F1166" s="90">
        <v>4</v>
      </c>
    </row>
    <row r="1167" spans="1:6" x14ac:dyDescent="0.3">
      <c r="A1167" s="1" t="s">
        <v>124</v>
      </c>
      <c r="B1167" s="1" t="s">
        <v>184</v>
      </c>
      <c r="C1167" s="1">
        <v>26</v>
      </c>
      <c r="D1167" s="1">
        <v>1</v>
      </c>
      <c r="E1167" s="3">
        <v>10</v>
      </c>
      <c r="F1167" s="90">
        <v>10</v>
      </c>
    </row>
    <row r="1168" spans="1:6" x14ac:dyDescent="0.3">
      <c r="A1168" s="1" t="s">
        <v>124</v>
      </c>
      <c r="B1168" s="1" t="s">
        <v>183</v>
      </c>
      <c r="C1168" s="1">
        <v>0</v>
      </c>
      <c r="D1168" s="1">
        <v>1</v>
      </c>
      <c r="E1168" s="3">
        <v>0</v>
      </c>
      <c r="F1168" s="90">
        <v>0</v>
      </c>
    </row>
    <row r="1169" spans="1:6" x14ac:dyDescent="0.3">
      <c r="A1169" s="1" t="s">
        <v>124</v>
      </c>
      <c r="B1169" s="1" t="s">
        <v>183</v>
      </c>
      <c r="C1169" s="1">
        <v>31</v>
      </c>
      <c r="D1169" s="1">
        <v>106</v>
      </c>
      <c r="E1169" s="3">
        <v>848</v>
      </c>
      <c r="F1169" s="90">
        <v>8</v>
      </c>
    </row>
    <row r="1170" spans="1:6" x14ac:dyDescent="0.3">
      <c r="A1170" s="1" t="s">
        <v>124</v>
      </c>
      <c r="B1170" s="1" t="s">
        <v>183</v>
      </c>
      <c r="C1170" s="1">
        <v>32</v>
      </c>
      <c r="D1170" s="1">
        <v>91</v>
      </c>
      <c r="E1170" s="3">
        <v>910</v>
      </c>
      <c r="F1170" s="90">
        <v>10</v>
      </c>
    </row>
    <row r="1171" spans="1:6" x14ac:dyDescent="0.3">
      <c r="A1171" s="1" t="s">
        <v>124</v>
      </c>
      <c r="B1171" s="1" t="s">
        <v>183</v>
      </c>
      <c r="C1171" s="1">
        <v>35</v>
      </c>
      <c r="D1171" s="1">
        <v>3</v>
      </c>
      <c r="E1171" s="3">
        <v>8</v>
      </c>
      <c r="F1171" s="90">
        <v>2.6666666666666701</v>
      </c>
    </row>
    <row r="1172" spans="1:6" x14ac:dyDescent="0.3">
      <c r="A1172" s="1" t="s">
        <v>124</v>
      </c>
      <c r="B1172" s="1" t="s">
        <v>183</v>
      </c>
      <c r="C1172" s="1">
        <v>36</v>
      </c>
      <c r="D1172" s="1">
        <v>1</v>
      </c>
      <c r="E1172" s="3">
        <v>12</v>
      </c>
      <c r="F1172" s="90">
        <v>12</v>
      </c>
    </row>
    <row r="1173" spans="1:6" x14ac:dyDescent="0.3">
      <c r="A1173" s="1" t="s">
        <v>124</v>
      </c>
      <c r="B1173" s="1" t="s">
        <v>159</v>
      </c>
      <c r="C1173" s="1">
        <v>42</v>
      </c>
      <c r="D1173" s="1">
        <v>28</v>
      </c>
      <c r="E1173" s="3">
        <v>56</v>
      </c>
      <c r="F1173" s="90">
        <v>2</v>
      </c>
    </row>
    <row r="1174" spans="1:6" x14ac:dyDescent="0.3">
      <c r="A1174" s="1" t="s">
        <v>124</v>
      </c>
      <c r="B1174" s="1" t="s">
        <v>5</v>
      </c>
      <c r="C1174" s="1">
        <v>0</v>
      </c>
      <c r="D1174" s="1">
        <v>28</v>
      </c>
      <c r="E1174" s="3">
        <v>0</v>
      </c>
      <c r="F1174" s="90">
        <v>0</v>
      </c>
    </row>
    <row r="1175" spans="1:6" x14ac:dyDescent="0.3">
      <c r="A1175" s="1" t="s">
        <v>124</v>
      </c>
      <c r="B1175" s="1" t="s">
        <v>5</v>
      </c>
      <c r="C1175" s="1">
        <v>11</v>
      </c>
      <c r="D1175" s="1">
        <v>424</v>
      </c>
      <c r="E1175" s="3">
        <v>3392</v>
      </c>
      <c r="F1175" s="90">
        <v>8</v>
      </c>
    </row>
    <row r="1176" spans="1:6" x14ac:dyDescent="0.3">
      <c r="A1176" s="1" t="s">
        <v>124</v>
      </c>
      <c r="B1176" s="1" t="s">
        <v>5</v>
      </c>
      <c r="C1176" s="1">
        <v>12</v>
      </c>
      <c r="D1176" s="1">
        <v>343</v>
      </c>
      <c r="E1176" s="3">
        <v>4116</v>
      </c>
      <c r="F1176" s="90">
        <v>12</v>
      </c>
    </row>
    <row r="1177" spans="1:6" x14ac:dyDescent="0.3">
      <c r="A1177" s="1" t="s">
        <v>124</v>
      </c>
      <c r="B1177" s="1" t="s">
        <v>5</v>
      </c>
      <c r="C1177" s="1">
        <v>13</v>
      </c>
      <c r="D1177" s="1">
        <v>25</v>
      </c>
      <c r="E1177" s="3">
        <v>91</v>
      </c>
      <c r="F1177" s="90">
        <v>3.64</v>
      </c>
    </row>
    <row r="1178" spans="1:6" x14ac:dyDescent="0.3">
      <c r="A1178" s="1" t="s">
        <v>124</v>
      </c>
      <c r="B1178" s="1" t="s">
        <v>5</v>
      </c>
      <c r="C1178" s="1">
        <v>14</v>
      </c>
      <c r="D1178" s="1">
        <v>3</v>
      </c>
      <c r="E1178" s="3">
        <v>49.5</v>
      </c>
      <c r="F1178" s="90">
        <v>16.5</v>
      </c>
    </row>
    <row r="1179" spans="1:6" x14ac:dyDescent="0.3">
      <c r="A1179" s="1" t="s">
        <v>124</v>
      </c>
      <c r="B1179" s="1" t="s">
        <v>5</v>
      </c>
      <c r="C1179" s="1">
        <v>15</v>
      </c>
      <c r="D1179" s="1">
        <v>3</v>
      </c>
      <c r="E1179" s="3">
        <v>6</v>
      </c>
      <c r="F1179" s="90">
        <v>2</v>
      </c>
    </row>
    <row r="1180" spans="1:6" x14ac:dyDescent="0.3">
      <c r="A1180" s="1" t="s">
        <v>125</v>
      </c>
      <c r="B1180" s="1" t="s">
        <v>184</v>
      </c>
      <c r="C1180" s="1">
        <v>21</v>
      </c>
      <c r="D1180" s="1">
        <v>25</v>
      </c>
      <c r="E1180" s="3">
        <v>100</v>
      </c>
      <c r="F1180" s="90">
        <v>4</v>
      </c>
    </row>
    <row r="1181" spans="1:6" x14ac:dyDescent="0.3">
      <c r="A1181" s="1" t="s">
        <v>125</v>
      </c>
      <c r="B1181" s="1" t="s">
        <v>184</v>
      </c>
      <c r="C1181" s="1">
        <v>22</v>
      </c>
      <c r="D1181" s="1">
        <v>56</v>
      </c>
      <c r="E1181" s="3">
        <v>224</v>
      </c>
      <c r="F1181" s="90">
        <v>4</v>
      </c>
    </row>
    <row r="1182" spans="1:6" x14ac:dyDescent="0.3">
      <c r="A1182" s="1" t="s">
        <v>125</v>
      </c>
      <c r="B1182" s="1" t="s">
        <v>184</v>
      </c>
      <c r="C1182" s="1">
        <v>24</v>
      </c>
      <c r="D1182" s="1">
        <v>1</v>
      </c>
      <c r="E1182" s="3">
        <v>12</v>
      </c>
      <c r="F1182" s="90">
        <v>12</v>
      </c>
    </row>
    <row r="1183" spans="1:6" x14ac:dyDescent="0.3">
      <c r="A1183" s="1" t="s">
        <v>125</v>
      </c>
      <c r="B1183" s="1" t="s">
        <v>184</v>
      </c>
      <c r="C1183" s="1">
        <v>26</v>
      </c>
      <c r="D1183" s="1">
        <v>2</v>
      </c>
      <c r="E1183" s="3">
        <v>16</v>
      </c>
      <c r="F1183" s="90">
        <v>8</v>
      </c>
    </row>
    <row r="1184" spans="1:6" x14ac:dyDescent="0.3">
      <c r="A1184" s="1" t="s">
        <v>125</v>
      </c>
      <c r="B1184" s="1" t="s">
        <v>183</v>
      </c>
      <c r="C1184" s="1">
        <v>31</v>
      </c>
      <c r="D1184" s="1">
        <v>46</v>
      </c>
      <c r="E1184" s="3">
        <v>368</v>
      </c>
      <c r="F1184" s="90">
        <v>8</v>
      </c>
    </row>
    <row r="1185" spans="1:6" x14ac:dyDescent="0.3">
      <c r="A1185" s="1" t="s">
        <v>125</v>
      </c>
      <c r="B1185" s="1" t="s">
        <v>183</v>
      </c>
      <c r="C1185" s="1">
        <v>32</v>
      </c>
      <c r="D1185" s="1">
        <v>48</v>
      </c>
      <c r="E1185" s="3">
        <v>480</v>
      </c>
      <c r="F1185" s="90">
        <v>10</v>
      </c>
    </row>
    <row r="1186" spans="1:6" x14ac:dyDescent="0.3">
      <c r="A1186" s="1" t="s">
        <v>125</v>
      </c>
      <c r="B1186" s="1" t="s">
        <v>183</v>
      </c>
      <c r="C1186" s="1">
        <v>33</v>
      </c>
      <c r="D1186" s="1">
        <v>1</v>
      </c>
      <c r="E1186" s="3">
        <v>4</v>
      </c>
      <c r="F1186" s="90">
        <v>4</v>
      </c>
    </row>
    <row r="1187" spans="1:6" x14ac:dyDescent="0.3">
      <c r="A1187" s="1" t="s">
        <v>125</v>
      </c>
      <c r="B1187" s="1" t="s">
        <v>183</v>
      </c>
      <c r="C1187" s="1">
        <v>34</v>
      </c>
      <c r="D1187" s="1">
        <v>13</v>
      </c>
      <c r="E1187" s="3">
        <v>130</v>
      </c>
      <c r="F1187" s="90">
        <v>10</v>
      </c>
    </row>
    <row r="1188" spans="1:6" x14ac:dyDescent="0.3">
      <c r="A1188" s="1" t="s">
        <v>125</v>
      </c>
      <c r="B1188" s="1" t="s">
        <v>183</v>
      </c>
      <c r="C1188" s="1">
        <v>35</v>
      </c>
      <c r="D1188" s="1">
        <v>13</v>
      </c>
      <c r="E1188" s="3">
        <v>110</v>
      </c>
      <c r="F1188" s="90">
        <v>8.4615384615384599</v>
      </c>
    </row>
    <row r="1189" spans="1:6" x14ac:dyDescent="0.3">
      <c r="A1189" s="1" t="s">
        <v>125</v>
      </c>
      <c r="B1189" s="1" t="s">
        <v>159</v>
      </c>
      <c r="C1189" s="1">
        <v>42</v>
      </c>
      <c r="D1189" s="1">
        <v>688</v>
      </c>
      <c r="E1189" s="3">
        <v>1376</v>
      </c>
      <c r="F1189" s="90">
        <v>2</v>
      </c>
    </row>
    <row r="1190" spans="1:6" x14ac:dyDescent="0.3">
      <c r="A1190" s="1" t="s">
        <v>125</v>
      </c>
      <c r="B1190" s="1" t="s">
        <v>5</v>
      </c>
      <c r="C1190" s="1">
        <v>0</v>
      </c>
      <c r="D1190" s="1">
        <v>5</v>
      </c>
      <c r="E1190" s="3">
        <v>0</v>
      </c>
      <c r="F1190" s="90">
        <v>0</v>
      </c>
    </row>
    <row r="1191" spans="1:6" x14ac:dyDescent="0.3">
      <c r="A1191" s="1" t="s">
        <v>125</v>
      </c>
      <c r="B1191" s="1" t="s">
        <v>5</v>
      </c>
      <c r="C1191" s="1">
        <v>11</v>
      </c>
      <c r="D1191" s="1">
        <v>58</v>
      </c>
      <c r="E1191" s="3">
        <v>464</v>
      </c>
      <c r="F1191" s="90">
        <v>8</v>
      </c>
    </row>
    <row r="1192" spans="1:6" x14ac:dyDescent="0.3">
      <c r="A1192" s="1" t="s">
        <v>125</v>
      </c>
      <c r="B1192" s="1" t="s">
        <v>5</v>
      </c>
      <c r="C1192" s="1">
        <v>12</v>
      </c>
      <c r="D1192" s="1">
        <v>103</v>
      </c>
      <c r="E1192" s="3">
        <v>927</v>
      </c>
      <c r="F1192" s="90">
        <v>9</v>
      </c>
    </row>
    <row r="1193" spans="1:6" x14ac:dyDescent="0.3">
      <c r="A1193" s="1" t="s">
        <v>125</v>
      </c>
      <c r="B1193" s="1" t="s">
        <v>5</v>
      </c>
      <c r="C1193" s="1">
        <v>13</v>
      </c>
      <c r="D1193" s="1">
        <v>200</v>
      </c>
      <c r="E1193" s="3">
        <v>802</v>
      </c>
      <c r="F1193" s="90">
        <v>4.01</v>
      </c>
    </row>
    <row r="1194" spans="1:6" x14ac:dyDescent="0.3">
      <c r="A1194" s="1" t="s">
        <v>125</v>
      </c>
      <c r="B1194" s="1" t="s">
        <v>5</v>
      </c>
      <c r="C1194" s="1">
        <v>14</v>
      </c>
      <c r="D1194" s="1">
        <v>436</v>
      </c>
      <c r="E1194" s="3">
        <v>4439</v>
      </c>
      <c r="F1194" s="90">
        <v>10.181192660550501</v>
      </c>
    </row>
    <row r="1195" spans="1:6" x14ac:dyDescent="0.3">
      <c r="A1195" s="1" t="s">
        <v>125</v>
      </c>
      <c r="B1195" s="1" t="s">
        <v>5</v>
      </c>
      <c r="C1195" s="1">
        <v>15</v>
      </c>
      <c r="D1195" s="1">
        <v>363</v>
      </c>
      <c r="E1195" s="3">
        <v>1317</v>
      </c>
      <c r="F1195" s="90">
        <v>3.62809917355372</v>
      </c>
    </row>
    <row r="1196" spans="1:6" x14ac:dyDescent="0.3">
      <c r="A1196" s="1" t="s">
        <v>125</v>
      </c>
      <c r="B1196" s="1" t="s">
        <v>5</v>
      </c>
      <c r="C1196" s="1">
        <v>16</v>
      </c>
      <c r="D1196" s="1">
        <v>439</v>
      </c>
      <c r="E1196" s="3">
        <v>4404</v>
      </c>
      <c r="F1196" s="90">
        <v>10.0318906605923</v>
      </c>
    </row>
    <row r="1197" spans="1:6" x14ac:dyDescent="0.3">
      <c r="A1197" s="1" t="s">
        <v>126</v>
      </c>
      <c r="B1197" s="1" t="s">
        <v>5</v>
      </c>
      <c r="C1197" s="1">
        <v>11</v>
      </c>
      <c r="D1197" s="1">
        <v>16</v>
      </c>
      <c r="E1197" s="3">
        <v>144</v>
      </c>
      <c r="F1197" s="90">
        <v>9</v>
      </c>
    </row>
    <row r="1198" spans="1:6" x14ac:dyDescent="0.3">
      <c r="A1198" s="1" t="s">
        <v>126</v>
      </c>
      <c r="B1198" s="1" t="s">
        <v>5</v>
      </c>
      <c r="C1198" s="1">
        <v>12</v>
      </c>
      <c r="D1198" s="1">
        <v>20</v>
      </c>
      <c r="E1198" s="3">
        <v>200</v>
      </c>
      <c r="F1198" s="90">
        <v>10</v>
      </c>
    </row>
    <row r="1199" spans="1:6" x14ac:dyDescent="0.3">
      <c r="A1199" s="1" t="s">
        <v>126</v>
      </c>
      <c r="B1199" s="1" t="s">
        <v>5</v>
      </c>
      <c r="C1199" s="1">
        <v>13</v>
      </c>
      <c r="D1199" s="1">
        <v>11</v>
      </c>
      <c r="E1199" s="3">
        <v>55</v>
      </c>
      <c r="F1199" s="90">
        <v>5</v>
      </c>
    </row>
    <row r="1200" spans="1:6" x14ac:dyDescent="0.3">
      <c r="A1200" s="1" t="s">
        <v>126</v>
      </c>
      <c r="B1200" s="1" t="s">
        <v>5</v>
      </c>
      <c r="C1200" s="1">
        <v>14</v>
      </c>
      <c r="D1200" s="1">
        <v>2</v>
      </c>
      <c r="E1200" s="3">
        <v>20</v>
      </c>
      <c r="F1200" s="90">
        <v>10</v>
      </c>
    </row>
    <row r="1201" spans="1:6" x14ac:dyDescent="0.3">
      <c r="A1201" s="1" t="s">
        <v>126</v>
      </c>
      <c r="B1201" s="1" t="s">
        <v>5</v>
      </c>
      <c r="C1201" s="1">
        <v>15</v>
      </c>
      <c r="D1201" s="1">
        <v>6</v>
      </c>
      <c r="E1201" s="3">
        <v>34</v>
      </c>
      <c r="F1201" s="90">
        <v>5.6666666666666696</v>
      </c>
    </row>
    <row r="1202" spans="1:6" x14ac:dyDescent="0.3">
      <c r="A1202" s="1" t="s">
        <v>126</v>
      </c>
      <c r="B1202" s="1" t="s">
        <v>5</v>
      </c>
      <c r="C1202" s="1">
        <v>16</v>
      </c>
      <c r="D1202" s="1">
        <v>7</v>
      </c>
      <c r="E1202" s="3">
        <v>84.5</v>
      </c>
      <c r="F1202" s="90">
        <v>12.0714285714286</v>
      </c>
    </row>
    <row r="1203" spans="1:6" x14ac:dyDescent="0.3">
      <c r="A1203" s="1" t="s">
        <v>127</v>
      </c>
      <c r="B1203" s="1" t="s">
        <v>5</v>
      </c>
      <c r="C1203" s="1">
        <v>0</v>
      </c>
      <c r="D1203" s="1">
        <v>56</v>
      </c>
      <c r="E1203" s="3">
        <v>0</v>
      </c>
      <c r="F1203" s="90">
        <v>0</v>
      </c>
    </row>
    <row r="1204" spans="1:6" x14ac:dyDescent="0.3">
      <c r="A1204" s="1" t="s">
        <v>127</v>
      </c>
      <c r="B1204" s="1" t="s">
        <v>5</v>
      </c>
      <c r="C1204" s="1">
        <v>11</v>
      </c>
      <c r="D1204" s="1">
        <v>280</v>
      </c>
      <c r="E1204" s="3">
        <v>1680</v>
      </c>
      <c r="F1204" s="90">
        <v>6</v>
      </c>
    </row>
    <row r="1205" spans="1:6" x14ac:dyDescent="0.3">
      <c r="A1205" s="1" t="s">
        <v>127</v>
      </c>
      <c r="B1205" s="1" t="s">
        <v>5</v>
      </c>
      <c r="C1205" s="1">
        <v>12</v>
      </c>
      <c r="D1205" s="1">
        <v>565</v>
      </c>
      <c r="E1205" s="3">
        <v>5085</v>
      </c>
      <c r="F1205" s="90">
        <v>9</v>
      </c>
    </row>
    <row r="1206" spans="1:6" x14ac:dyDescent="0.3">
      <c r="A1206" s="1" t="s">
        <v>127</v>
      </c>
      <c r="B1206" s="1" t="s">
        <v>5</v>
      </c>
      <c r="C1206" s="1">
        <v>13</v>
      </c>
      <c r="D1206" s="1">
        <v>26</v>
      </c>
      <c r="E1206" s="3">
        <v>127</v>
      </c>
      <c r="F1206" s="90">
        <v>4.8846153846153904</v>
      </c>
    </row>
    <row r="1207" spans="1:6" x14ac:dyDescent="0.3">
      <c r="A1207" s="1" t="s">
        <v>127</v>
      </c>
      <c r="B1207" s="1" t="s">
        <v>5</v>
      </c>
      <c r="C1207" s="1">
        <v>14</v>
      </c>
      <c r="D1207" s="1">
        <v>8</v>
      </c>
      <c r="E1207" s="3">
        <v>115</v>
      </c>
      <c r="F1207" s="90">
        <v>14.375</v>
      </c>
    </row>
    <row r="1208" spans="1:6" x14ac:dyDescent="0.3">
      <c r="A1208" s="1" t="s">
        <v>127</v>
      </c>
      <c r="B1208" s="1" t="s">
        <v>5</v>
      </c>
      <c r="C1208" s="1">
        <v>15</v>
      </c>
      <c r="D1208" s="1">
        <v>23</v>
      </c>
      <c r="E1208" s="3">
        <v>114</v>
      </c>
      <c r="F1208" s="90">
        <v>4.9565217391304301</v>
      </c>
    </row>
    <row r="1209" spans="1:6" x14ac:dyDescent="0.3">
      <c r="A1209" s="1" t="s">
        <v>127</v>
      </c>
      <c r="B1209" s="1" t="s">
        <v>5</v>
      </c>
      <c r="C1209" s="1">
        <v>16</v>
      </c>
      <c r="D1209" s="1">
        <v>23</v>
      </c>
      <c r="E1209" s="3">
        <v>339.6</v>
      </c>
      <c r="F1209" s="90">
        <v>14.765217391304301</v>
      </c>
    </row>
    <row r="1210" spans="1:6" x14ac:dyDescent="0.3">
      <c r="A1210" s="1" t="s">
        <v>128</v>
      </c>
      <c r="B1210" s="1" t="s">
        <v>159</v>
      </c>
      <c r="C1210" s="1">
        <v>42</v>
      </c>
      <c r="D1210" s="1">
        <v>6</v>
      </c>
      <c r="E1210" s="3">
        <v>12</v>
      </c>
      <c r="F1210" s="90">
        <v>2</v>
      </c>
    </row>
    <row r="1211" spans="1:6" x14ac:dyDescent="0.3">
      <c r="A1211" s="1" t="s">
        <v>128</v>
      </c>
      <c r="B1211" s="1" t="s">
        <v>5</v>
      </c>
      <c r="C1211" s="1">
        <v>0</v>
      </c>
      <c r="D1211" s="1">
        <v>43</v>
      </c>
      <c r="E1211" s="3">
        <v>0</v>
      </c>
      <c r="F1211" s="90">
        <v>0</v>
      </c>
    </row>
    <row r="1212" spans="1:6" x14ac:dyDescent="0.3">
      <c r="A1212" s="1" t="s">
        <v>128</v>
      </c>
      <c r="B1212" s="1" t="s">
        <v>5</v>
      </c>
      <c r="C1212" s="1">
        <v>11</v>
      </c>
      <c r="D1212" s="1">
        <v>1183</v>
      </c>
      <c r="E1212" s="3">
        <v>4732</v>
      </c>
      <c r="F1212" s="90">
        <v>4</v>
      </c>
    </row>
    <row r="1213" spans="1:6" x14ac:dyDescent="0.3">
      <c r="A1213" s="1" t="s">
        <v>128</v>
      </c>
      <c r="B1213" s="1" t="s">
        <v>5</v>
      </c>
      <c r="C1213" s="1">
        <v>12</v>
      </c>
      <c r="D1213" s="1">
        <v>987</v>
      </c>
      <c r="E1213" s="3">
        <v>3948</v>
      </c>
      <c r="F1213" s="90">
        <v>4</v>
      </c>
    </row>
    <row r="1214" spans="1:6" x14ac:dyDescent="0.3">
      <c r="A1214" s="1" t="s">
        <v>128</v>
      </c>
      <c r="B1214" s="1" t="s">
        <v>5</v>
      </c>
      <c r="C1214" s="1">
        <v>14</v>
      </c>
      <c r="D1214" s="1">
        <v>37</v>
      </c>
      <c r="E1214" s="3">
        <v>273.5</v>
      </c>
      <c r="F1214" s="90">
        <v>7.3918918918918903</v>
      </c>
    </row>
    <row r="1215" spans="1:6" x14ac:dyDescent="0.3">
      <c r="A1215" s="1" t="s">
        <v>128</v>
      </c>
      <c r="B1215" s="1" t="s">
        <v>5</v>
      </c>
      <c r="C1215" s="1">
        <v>15</v>
      </c>
      <c r="D1215" s="1">
        <v>7</v>
      </c>
      <c r="E1215" s="3">
        <v>14</v>
      </c>
      <c r="F1215" s="90">
        <v>2</v>
      </c>
    </row>
    <row r="1216" spans="1:6" x14ac:dyDescent="0.3">
      <c r="A1216" s="1" t="s">
        <v>128</v>
      </c>
      <c r="B1216" s="1" t="s">
        <v>5</v>
      </c>
      <c r="C1216" s="1">
        <v>16</v>
      </c>
      <c r="D1216" s="1">
        <v>98</v>
      </c>
      <c r="E1216" s="3">
        <v>633</v>
      </c>
      <c r="F1216" s="90">
        <v>6.4591836734693899</v>
      </c>
    </row>
    <row r="1217" spans="1:6" x14ac:dyDescent="0.3">
      <c r="A1217" s="1" t="s">
        <v>129</v>
      </c>
      <c r="B1217" s="1" t="s">
        <v>184</v>
      </c>
      <c r="C1217" s="1">
        <v>21</v>
      </c>
      <c r="D1217" s="1">
        <v>1</v>
      </c>
      <c r="E1217" s="3">
        <v>4</v>
      </c>
      <c r="F1217" s="90">
        <v>4</v>
      </c>
    </row>
    <row r="1218" spans="1:6" x14ac:dyDescent="0.3">
      <c r="A1218" s="1" t="s">
        <v>129</v>
      </c>
      <c r="B1218" s="1" t="s">
        <v>5</v>
      </c>
      <c r="C1218" s="1">
        <v>0</v>
      </c>
      <c r="D1218" s="1">
        <v>219</v>
      </c>
      <c r="E1218" s="3">
        <v>0</v>
      </c>
      <c r="F1218" s="90">
        <v>0</v>
      </c>
    </row>
    <row r="1219" spans="1:6" x14ac:dyDescent="0.3">
      <c r="A1219" s="1" t="s">
        <v>129</v>
      </c>
      <c r="B1219" s="1" t="s">
        <v>5</v>
      </c>
      <c r="C1219" s="1">
        <v>11</v>
      </c>
      <c r="D1219" s="1">
        <v>2417</v>
      </c>
      <c r="E1219" s="3">
        <v>9668</v>
      </c>
      <c r="F1219" s="90">
        <v>4</v>
      </c>
    </row>
    <row r="1220" spans="1:6" x14ac:dyDescent="0.3">
      <c r="A1220" s="1" t="s">
        <v>129</v>
      </c>
      <c r="B1220" s="1" t="s">
        <v>5</v>
      </c>
      <c r="C1220" s="1">
        <v>12</v>
      </c>
      <c r="D1220" s="1">
        <v>12781</v>
      </c>
      <c r="E1220" s="3">
        <v>51124</v>
      </c>
      <c r="F1220" s="90">
        <v>4</v>
      </c>
    </row>
    <row r="1221" spans="1:6" x14ac:dyDescent="0.3">
      <c r="A1221" s="1" t="s">
        <v>129</v>
      </c>
      <c r="B1221" s="1" t="s">
        <v>5</v>
      </c>
      <c r="C1221" s="1">
        <v>14</v>
      </c>
      <c r="D1221" s="1">
        <v>4</v>
      </c>
      <c r="E1221" s="3">
        <v>23.5</v>
      </c>
      <c r="F1221" s="90">
        <v>5.875</v>
      </c>
    </row>
    <row r="1222" spans="1:6" x14ac:dyDescent="0.3">
      <c r="A1222" s="1" t="s">
        <v>129</v>
      </c>
      <c r="B1222" s="1" t="s">
        <v>5</v>
      </c>
      <c r="C1222" s="1">
        <v>15</v>
      </c>
      <c r="D1222" s="1">
        <v>6</v>
      </c>
      <c r="E1222" s="3">
        <v>18</v>
      </c>
      <c r="F1222" s="90">
        <v>3</v>
      </c>
    </row>
    <row r="1223" spans="1:6" x14ac:dyDescent="0.3">
      <c r="A1223" s="1" t="s">
        <v>129</v>
      </c>
      <c r="B1223" s="1" t="s">
        <v>5</v>
      </c>
      <c r="C1223" s="1">
        <v>16</v>
      </c>
      <c r="D1223" s="1">
        <v>9</v>
      </c>
      <c r="E1223" s="3">
        <v>54</v>
      </c>
      <c r="F1223" s="90">
        <v>6</v>
      </c>
    </row>
    <row r="1224" spans="1:6" x14ac:dyDescent="0.3">
      <c r="A1224" s="1" t="s">
        <v>130</v>
      </c>
      <c r="B1224" s="1" t="s">
        <v>5</v>
      </c>
      <c r="C1224" s="1">
        <v>0</v>
      </c>
      <c r="D1224" s="1">
        <v>15</v>
      </c>
      <c r="E1224" s="3">
        <v>0</v>
      </c>
      <c r="F1224" s="90">
        <v>0</v>
      </c>
    </row>
    <row r="1225" spans="1:6" x14ac:dyDescent="0.3">
      <c r="A1225" s="1" t="s">
        <v>130</v>
      </c>
      <c r="B1225" s="1" t="s">
        <v>5</v>
      </c>
      <c r="C1225" s="1">
        <v>11</v>
      </c>
      <c r="D1225" s="1">
        <v>2042</v>
      </c>
      <c r="E1225" s="3">
        <v>10210</v>
      </c>
      <c r="F1225" s="90">
        <v>5</v>
      </c>
    </row>
    <row r="1226" spans="1:6" x14ac:dyDescent="0.3">
      <c r="A1226" s="1" t="s">
        <v>130</v>
      </c>
      <c r="B1226" s="1" t="s">
        <v>5</v>
      </c>
      <c r="C1226" s="1">
        <v>12</v>
      </c>
      <c r="D1226" s="1">
        <v>7140</v>
      </c>
      <c r="E1226" s="3">
        <v>35700</v>
      </c>
      <c r="F1226" s="90">
        <v>5</v>
      </c>
    </row>
    <row r="1227" spans="1:6" x14ac:dyDescent="0.3">
      <c r="A1227" s="1" t="s">
        <v>130</v>
      </c>
      <c r="B1227" s="1" t="s">
        <v>5</v>
      </c>
      <c r="C1227" s="1">
        <v>16</v>
      </c>
      <c r="D1227" s="1">
        <v>2</v>
      </c>
      <c r="E1227" s="3">
        <v>20</v>
      </c>
      <c r="F1227" s="90">
        <v>10</v>
      </c>
    </row>
    <row r="1228" spans="1:6" x14ac:dyDescent="0.3">
      <c r="A1228" s="1" t="s">
        <v>131</v>
      </c>
      <c r="B1228" s="1" t="s">
        <v>5</v>
      </c>
      <c r="C1228" s="1">
        <v>0</v>
      </c>
      <c r="D1228" s="1">
        <v>14</v>
      </c>
      <c r="E1228" s="3">
        <v>0</v>
      </c>
      <c r="F1228" s="90">
        <v>0</v>
      </c>
    </row>
    <row r="1229" spans="1:6" x14ac:dyDescent="0.3">
      <c r="A1229" s="1" t="s">
        <v>131</v>
      </c>
      <c r="B1229" s="1" t="s">
        <v>5</v>
      </c>
      <c r="C1229" s="1">
        <v>11</v>
      </c>
      <c r="D1229" s="1">
        <v>750</v>
      </c>
      <c r="E1229" s="3">
        <v>4500</v>
      </c>
      <c r="F1229" s="90">
        <v>6</v>
      </c>
    </row>
    <row r="1230" spans="1:6" x14ac:dyDescent="0.3">
      <c r="A1230" s="1" t="s">
        <v>131</v>
      </c>
      <c r="B1230" s="1" t="s">
        <v>5</v>
      </c>
      <c r="C1230" s="1">
        <v>12</v>
      </c>
      <c r="D1230" s="1">
        <v>2152</v>
      </c>
      <c r="E1230" s="3">
        <v>12912</v>
      </c>
      <c r="F1230" s="90">
        <v>6</v>
      </c>
    </row>
    <row r="1231" spans="1:6" x14ac:dyDescent="0.3">
      <c r="A1231" s="1" t="s">
        <v>131</v>
      </c>
      <c r="B1231" s="1" t="s">
        <v>5</v>
      </c>
      <c r="C1231" s="1">
        <v>13</v>
      </c>
      <c r="D1231" s="1">
        <v>57</v>
      </c>
      <c r="E1231" s="3">
        <v>284.5</v>
      </c>
      <c r="F1231" s="90">
        <v>4.9912280701754401</v>
      </c>
    </row>
    <row r="1232" spans="1:6" x14ac:dyDescent="0.3">
      <c r="A1232" s="1" t="s">
        <v>131</v>
      </c>
      <c r="B1232" s="1" t="s">
        <v>5</v>
      </c>
      <c r="C1232" s="1">
        <v>14</v>
      </c>
      <c r="D1232" s="1">
        <v>1</v>
      </c>
      <c r="E1232" s="3">
        <v>10</v>
      </c>
      <c r="F1232" s="90">
        <v>10</v>
      </c>
    </row>
    <row r="1233" spans="1:6" x14ac:dyDescent="0.3">
      <c r="A1233" s="1" t="s">
        <v>131</v>
      </c>
      <c r="B1233" s="1" t="s">
        <v>5</v>
      </c>
      <c r="C1233" s="1">
        <v>15</v>
      </c>
      <c r="D1233" s="1">
        <v>107</v>
      </c>
      <c r="E1233" s="3">
        <v>534</v>
      </c>
      <c r="F1233" s="90">
        <v>4.9906542056074796</v>
      </c>
    </row>
    <row r="1234" spans="1:6" x14ac:dyDescent="0.3">
      <c r="A1234" s="1" t="s">
        <v>131</v>
      </c>
      <c r="B1234" s="1" t="s">
        <v>5</v>
      </c>
      <c r="C1234" s="1">
        <v>16</v>
      </c>
      <c r="D1234" s="1">
        <v>1</v>
      </c>
      <c r="E1234" s="3">
        <v>11</v>
      </c>
      <c r="F1234" s="90">
        <v>11</v>
      </c>
    </row>
    <row r="1235" spans="1:6" x14ac:dyDescent="0.3">
      <c r="A1235" s="1" t="s">
        <v>132</v>
      </c>
      <c r="B1235" s="1" t="s">
        <v>159</v>
      </c>
      <c r="C1235" s="1">
        <v>42</v>
      </c>
      <c r="D1235" s="1">
        <v>4</v>
      </c>
      <c r="E1235" s="3">
        <v>8</v>
      </c>
      <c r="F1235" s="90">
        <v>2</v>
      </c>
    </row>
    <row r="1236" spans="1:6" x14ac:dyDescent="0.3">
      <c r="A1236" s="1" t="s">
        <v>132</v>
      </c>
      <c r="B1236" s="1" t="s">
        <v>5</v>
      </c>
      <c r="C1236" s="1">
        <v>0</v>
      </c>
      <c r="D1236" s="1">
        <v>11</v>
      </c>
      <c r="E1236" s="3">
        <v>0</v>
      </c>
      <c r="F1236" s="90">
        <v>0</v>
      </c>
    </row>
    <row r="1237" spans="1:6" x14ac:dyDescent="0.3">
      <c r="A1237" s="1" t="s">
        <v>132</v>
      </c>
      <c r="B1237" s="1" t="s">
        <v>5</v>
      </c>
      <c r="C1237" s="1">
        <v>11</v>
      </c>
      <c r="D1237" s="1">
        <v>405</v>
      </c>
      <c r="E1237" s="3">
        <v>2835</v>
      </c>
      <c r="F1237" s="90">
        <v>7</v>
      </c>
    </row>
    <row r="1238" spans="1:6" x14ac:dyDescent="0.3">
      <c r="A1238" s="1" t="s">
        <v>132</v>
      </c>
      <c r="B1238" s="1" t="s">
        <v>5</v>
      </c>
      <c r="C1238" s="1">
        <v>12</v>
      </c>
      <c r="D1238" s="1">
        <v>1326</v>
      </c>
      <c r="E1238" s="3">
        <v>13260</v>
      </c>
      <c r="F1238" s="90">
        <v>10</v>
      </c>
    </row>
    <row r="1239" spans="1:6" x14ac:dyDescent="0.3">
      <c r="A1239" s="1" t="s">
        <v>132</v>
      </c>
      <c r="B1239" s="1" t="s">
        <v>5</v>
      </c>
      <c r="C1239" s="1">
        <v>13</v>
      </c>
      <c r="D1239" s="1">
        <v>18</v>
      </c>
      <c r="E1239" s="3">
        <v>42</v>
      </c>
      <c r="F1239" s="90">
        <v>2.3333333333333299</v>
      </c>
    </row>
    <row r="1240" spans="1:6" x14ac:dyDescent="0.3">
      <c r="A1240" s="1" t="s">
        <v>132</v>
      </c>
      <c r="B1240" s="1" t="s">
        <v>5</v>
      </c>
      <c r="C1240" s="1">
        <v>14</v>
      </c>
      <c r="D1240" s="1">
        <v>1</v>
      </c>
      <c r="E1240" s="3">
        <v>15</v>
      </c>
      <c r="F1240" s="90">
        <v>15</v>
      </c>
    </row>
    <row r="1241" spans="1:6" x14ac:dyDescent="0.3">
      <c r="A1241" s="1" t="s">
        <v>132</v>
      </c>
      <c r="B1241" s="1" t="s">
        <v>5</v>
      </c>
      <c r="C1241" s="1">
        <v>15</v>
      </c>
      <c r="D1241" s="1">
        <v>38</v>
      </c>
      <c r="E1241" s="3">
        <v>111</v>
      </c>
      <c r="F1241" s="90">
        <v>2.92105263157895</v>
      </c>
    </row>
    <row r="1242" spans="1:6" x14ac:dyDescent="0.3">
      <c r="A1242" s="1" t="s">
        <v>133</v>
      </c>
      <c r="B1242" s="1" t="s">
        <v>159</v>
      </c>
      <c r="C1242" s="1">
        <v>41</v>
      </c>
      <c r="D1242" s="1">
        <v>2</v>
      </c>
      <c r="E1242" s="3">
        <v>4</v>
      </c>
      <c r="F1242" s="90">
        <v>2</v>
      </c>
    </row>
    <row r="1243" spans="1:6" x14ac:dyDescent="0.3">
      <c r="A1243" s="1" t="s">
        <v>133</v>
      </c>
      <c r="B1243" s="1" t="s">
        <v>159</v>
      </c>
      <c r="C1243" s="1">
        <v>42</v>
      </c>
      <c r="D1243" s="1">
        <v>1035</v>
      </c>
      <c r="E1243" s="3">
        <v>2070</v>
      </c>
      <c r="F1243" s="90">
        <v>2</v>
      </c>
    </row>
    <row r="1244" spans="1:6" x14ac:dyDescent="0.3">
      <c r="A1244" s="1" t="s">
        <v>133</v>
      </c>
      <c r="B1244" s="1" t="s">
        <v>159</v>
      </c>
      <c r="C1244" s="1">
        <v>46</v>
      </c>
      <c r="D1244" s="1">
        <v>6</v>
      </c>
      <c r="E1244" s="3">
        <v>21</v>
      </c>
      <c r="F1244" s="90">
        <v>3.5</v>
      </c>
    </row>
    <row r="1245" spans="1:6" x14ac:dyDescent="0.3">
      <c r="A1245" s="1" t="s">
        <v>133</v>
      </c>
      <c r="B1245" s="1" t="s">
        <v>5</v>
      </c>
      <c r="C1245" s="1">
        <v>0</v>
      </c>
      <c r="D1245" s="1">
        <v>492</v>
      </c>
      <c r="E1245" s="3">
        <v>0</v>
      </c>
      <c r="F1245" s="90">
        <v>0</v>
      </c>
    </row>
    <row r="1246" spans="1:6" x14ac:dyDescent="0.3">
      <c r="A1246" s="1" t="s">
        <v>133</v>
      </c>
      <c r="B1246" s="1" t="s">
        <v>5</v>
      </c>
      <c r="C1246" s="1">
        <v>11</v>
      </c>
      <c r="D1246" s="1">
        <v>1948</v>
      </c>
      <c r="E1246" s="3">
        <v>5844</v>
      </c>
      <c r="F1246" s="90">
        <v>3</v>
      </c>
    </row>
    <row r="1247" spans="1:6" x14ac:dyDescent="0.3">
      <c r="A1247" s="1" t="s">
        <v>133</v>
      </c>
      <c r="B1247" s="1" t="s">
        <v>5</v>
      </c>
      <c r="C1247" s="1">
        <v>12</v>
      </c>
      <c r="D1247" s="1">
        <v>2739</v>
      </c>
      <c r="E1247" s="3">
        <v>10956</v>
      </c>
      <c r="F1247" s="90">
        <v>4</v>
      </c>
    </row>
    <row r="1248" spans="1:6" x14ac:dyDescent="0.3">
      <c r="A1248" s="1" t="s">
        <v>133</v>
      </c>
      <c r="B1248" s="1" t="s">
        <v>5</v>
      </c>
      <c r="C1248" s="1">
        <v>13</v>
      </c>
      <c r="D1248" s="1">
        <v>27</v>
      </c>
      <c r="E1248" s="3">
        <v>35.200000000000003</v>
      </c>
      <c r="F1248" s="90">
        <v>1.3037037037037</v>
      </c>
    </row>
    <row r="1249" spans="1:6" x14ac:dyDescent="0.3">
      <c r="A1249" s="1" t="s">
        <v>133</v>
      </c>
      <c r="B1249" s="1" t="s">
        <v>5</v>
      </c>
      <c r="C1249" s="1">
        <v>14</v>
      </c>
      <c r="D1249" s="1">
        <v>20</v>
      </c>
      <c r="E1249" s="3">
        <v>147.5</v>
      </c>
      <c r="F1249" s="90">
        <v>7.375</v>
      </c>
    </row>
    <row r="1250" spans="1:6" x14ac:dyDescent="0.3">
      <c r="A1250" s="1" t="s">
        <v>133</v>
      </c>
      <c r="B1250" s="1" t="s">
        <v>5</v>
      </c>
      <c r="C1250" s="1">
        <v>15</v>
      </c>
      <c r="D1250" s="1">
        <v>44</v>
      </c>
      <c r="E1250" s="3">
        <v>103</v>
      </c>
      <c r="F1250" s="90">
        <v>2.3409090909090899</v>
      </c>
    </row>
    <row r="1251" spans="1:6" x14ac:dyDescent="0.3">
      <c r="A1251" s="1" t="s">
        <v>133</v>
      </c>
      <c r="B1251" s="1" t="s">
        <v>5</v>
      </c>
      <c r="C1251" s="1">
        <v>16</v>
      </c>
      <c r="D1251" s="1">
        <v>13</v>
      </c>
      <c r="E1251" s="3">
        <v>98.5</v>
      </c>
      <c r="F1251" s="90">
        <v>7.5769230769230802</v>
      </c>
    </row>
    <row r="1252" spans="1:6" x14ac:dyDescent="0.3">
      <c r="A1252" s="1" t="s">
        <v>134</v>
      </c>
      <c r="B1252" s="1" t="s">
        <v>159</v>
      </c>
      <c r="C1252" s="1">
        <v>41</v>
      </c>
      <c r="D1252" s="1">
        <v>1</v>
      </c>
      <c r="E1252" s="3">
        <v>2</v>
      </c>
      <c r="F1252" s="90">
        <v>2</v>
      </c>
    </row>
    <row r="1253" spans="1:6" x14ac:dyDescent="0.3">
      <c r="A1253" s="1" t="s">
        <v>134</v>
      </c>
      <c r="B1253" s="1" t="s">
        <v>159</v>
      </c>
      <c r="C1253" s="1">
        <v>42</v>
      </c>
      <c r="D1253" s="1">
        <v>40</v>
      </c>
      <c r="E1253" s="3">
        <v>80</v>
      </c>
      <c r="F1253" s="90">
        <v>2</v>
      </c>
    </row>
    <row r="1254" spans="1:6" x14ac:dyDescent="0.3">
      <c r="A1254" s="1" t="s">
        <v>134</v>
      </c>
      <c r="B1254" s="1" t="s">
        <v>5</v>
      </c>
      <c r="C1254" s="1">
        <v>0</v>
      </c>
      <c r="D1254" s="1">
        <v>3</v>
      </c>
      <c r="E1254" s="3">
        <v>0</v>
      </c>
      <c r="F1254" s="90">
        <v>0</v>
      </c>
    </row>
    <row r="1255" spans="1:6" x14ac:dyDescent="0.3">
      <c r="A1255" s="1" t="s">
        <v>134</v>
      </c>
      <c r="B1255" s="1" t="s">
        <v>5</v>
      </c>
      <c r="C1255" s="1">
        <v>11</v>
      </c>
      <c r="D1255" s="1">
        <v>363</v>
      </c>
      <c r="E1255" s="3">
        <v>1452</v>
      </c>
      <c r="F1255" s="90">
        <v>4</v>
      </c>
    </row>
    <row r="1256" spans="1:6" x14ac:dyDescent="0.3">
      <c r="A1256" s="1" t="s">
        <v>134</v>
      </c>
      <c r="B1256" s="1" t="s">
        <v>5</v>
      </c>
      <c r="C1256" s="1">
        <v>12</v>
      </c>
      <c r="D1256" s="1">
        <v>1590</v>
      </c>
      <c r="E1256" s="3">
        <v>7950</v>
      </c>
      <c r="F1256" s="90">
        <v>5</v>
      </c>
    </row>
    <row r="1257" spans="1:6" x14ac:dyDescent="0.3">
      <c r="A1257" s="1" t="s">
        <v>134</v>
      </c>
      <c r="B1257" s="1" t="s">
        <v>5</v>
      </c>
      <c r="C1257" s="1">
        <v>14</v>
      </c>
      <c r="D1257" s="1">
        <v>3</v>
      </c>
      <c r="E1257" s="3">
        <v>23</v>
      </c>
      <c r="F1257" s="90">
        <v>7.6666666666666696</v>
      </c>
    </row>
    <row r="1258" spans="1:6" x14ac:dyDescent="0.3">
      <c r="A1258" s="1" t="s">
        <v>134</v>
      </c>
      <c r="B1258" s="1" t="s">
        <v>5</v>
      </c>
      <c r="C1258" s="1">
        <v>15</v>
      </c>
      <c r="D1258" s="1">
        <v>1</v>
      </c>
      <c r="E1258" s="3">
        <v>4</v>
      </c>
      <c r="F1258" s="90">
        <v>4</v>
      </c>
    </row>
    <row r="1259" spans="1:6" x14ac:dyDescent="0.3">
      <c r="A1259" s="1" t="s">
        <v>134</v>
      </c>
      <c r="B1259" s="1" t="s">
        <v>5</v>
      </c>
      <c r="C1259" s="1">
        <v>16</v>
      </c>
      <c r="D1259" s="1">
        <v>1</v>
      </c>
      <c r="E1259" s="3">
        <v>9</v>
      </c>
      <c r="F1259" s="90">
        <v>9</v>
      </c>
    </row>
    <row r="1260" spans="1:6" x14ac:dyDescent="0.3">
      <c r="A1260" s="1" t="s">
        <v>135</v>
      </c>
      <c r="B1260" s="1" t="s">
        <v>159</v>
      </c>
      <c r="C1260" s="1">
        <v>42</v>
      </c>
      <c r="D1260" s="1">
        <v>12</v>
      </c>
      <c r="E1260" s="3">
        <v>24</v>
      </c>
      <c r="F1260" s="90">
        <v>2</v>
      </c>
    </row>
    <row r="1261" spans="1:6" x14ac:dyDescent="0.3">
      <c r="A1261" s="1" t="s">
        <v>135</v>
      </c>
      <c r="B1261" s="1" t="s">
        <v>5</v>
      </c>
      <c r="C1261" s="1">
        <v>0</v>
      </c>
      <c r="D1261" s="1">
        <v>45</v>
      </c>
      <c r="E1261" s="3">
        <v>0</v>
      </c>
      <c r="F1261" s="90">
        <v>0</v>
      </c>
    </row>
    <row r="1262" spans="1:6" x14ac:dyDescent="0.3">
      <c r="A1262" s="1" t="s">
        <v>135</v>
      </c>
      <c r="B1262" s="1" t="s">
        <v>5</v>
      </c>
      <c r="C1262" s="1">
        <v>10</v>
      </c>
      <c r="D1262" s="1">
        <v>4</v>
      </c>
      <c r="E1262" s="3">
        <v>0</v>
      </c>
      <c r="F1262" s="90">
        <v>0</v>
      </c>
    </row>
    <row r="1263" spans="1:6" x14ac:dyDescent="0.3">
      <c r="A1263" s="1" t="s">
        <v>135</v>
      </c>
      <c r="B1263" s="1" t="s">
        <v>5</v>
      </c>
      <c r="C1263" s="1">
        <v>11</v>
      </c>
      <c r="D1263" s="1">
        <v>279</v>
      </c>
      <c r="E1263" s="3">
        <v>1395</v>
      </c>
      <c r="F1263" s="90">
        <v>5</v>
      </c>
    </row>
    <row r="1264" spans="1:6" x14ac:dyDescent="0.3">
      <c r="A1264" s="1" t="s">
        <v>135</v>
      </c>
      <c r="B1264" s="1" t="s">
        <v>5</v>
      </c>
      <c r="C1264" s="1">
        <v>12</v>
      </c>
      <c r="D1264" s="1">
        <v>218</v>
      </c>
      <c r="E1264" s="3">
        <v>1962</v>
      </c>
      <c r="F1264" s="90">
        <v>9</v>
      </c>
    </row>
    <row r="1265" spans="1:6" x14ac:dyDescent="0.3">
      <c r="A1265" s="1" t="s">
        <v>135</v>
      </c>
      <c r="B1265" s="1" t="s">
        <v>5</v>
      </c>
      <c r="C1265" s="1">
        <v>13</v>
      </c>
      <c r="D1265" s="1">
        <v>36</v>
      </c>
      <c r="E1265" s="3">
        <v>106.5</v>
      </c>
      <c r="F1265" s="90">
        <v>2.9583333333333299</v>
      </c>
    </row>
    <row r="1266" spans="1:6" x14ac:dyDescent="0.3">
      <c r="A1266" s="1" t="s">
        <v>135</v>
      </c>
      <c r="B1266" s="1" t="s">
        <v>5</v>
      </c>
      <c r="C1266" s="1">
        <v>14</v>
      </c>
      <c r="D1266" s="1">
        <v>54</v>
      </c>
      <c r="E1266" s="3">
        <v>540.5</v>
      </c>
      <c r="F1266" s="90">
        <v>10.0092592592593</v>
      </c>
    </row>
    <row r="1267" spans="1:6" x14ac:dyDescent="0.3">
      <c r="A1267" s="1" t="s">
        <v>135</v>
      </c>
      <c r="B1267" s="1" t="s">
        <v>5</v>
      </c>
      <c r="C1267" s="1">
        <v>15</v>
      </c>
      <c r="D1267" s="1">
        <v>57</v>
      </c>
      <c r="E1267" s="3">
        <v>312.39999999999998</v>
      </c>
      <c r="F1267" s="90">
        <v>5.4807017543859704</v>
      </c>
    </row>
    <row r="1268" spans="1:6" x14ac:dyDescent="0.3">
      <c r="A1268" s="1" t="s">
        <v>135</v>
      </c>
      <c r="B1268" s="1" t="s">
        <v>5</v>
      </c>
      <c r="C1268" s="1">
        <v>16</v>
      </c>
      <c r="D1268" s="1">
        <v>15</v>
      </c>
      <c r="E1268" s="3">
        <v>252.7</v>
      </c>
      <c r="F1268" s="90">
        <v>16.8466666666667</v>
      </c>
    </row>
    <row r="1269" spans="1:6" x14ac:dyDescent="0.3">
      <c r="A1269" s="1" t="s">
        <v>136</v>
      </c>
      <c r="B1269" s="1" t="s">
        <v>159</v>
      </c>
      <c r="C1269" s="1">
        <v>41</v>
      </c>
      <c r="D1269" s="1">
        <v>1</v>
      </c>
      <c r="E1269" s="3">
        <v>2</v>
      </c>
      <c r="F1269" s="90">
        <v>2</v>
      </c>
    </row>
    <row r="1270" spans="1:6" x14ac:dyDescent="0.3">
      <c r="A1270" s="1" t="s">
        <v>136</v>
      </c>
      <c r="B1270" s="1" t="s">
        <v>159</v>
      </c>
      <c r="C1270" s="1">
        <v>42</v>
      </c>
      <c r="D1270" s="1">
        <v>28</v>
      </c>
      <c r="E1270" s="3">
        <v>56</v>
      </c>
      <c r="F1270" s="90">
        <v>2</v>
      </c>
    </row>
    <row r="1271" spans="1:6" x14ac:dyDescent="0.3">
      <c r="A1271" s="1" t="s">
        <v>136</v>
      </c>
      <c r="B1271" s="1" t="s">
        <v>5</v>
      </c>
      <c r="C1271" s="1">
        <v>0</v>
      </c>
      <c r="D1271" s="1">
        <v>14</v>
      </c>
      <c r="E1271" s="3">
        <v>0</v>
      </c>
      <c r="F1271" s="90">
        <v>0</v>
      </c>
    </row>
    <row r="1272" spans="1:6" x14ac:dyDescent="0.3">
      <c r="A1272" s="1" t="s">
        <v>136</v>
      </c>
      <c r="B1272" s="1" t="s">
        <v>5</v>
      </c>
      <c r="C1272" s="1">
        <v>10</v>
      </c>
      <c r="D1272" s="1">
        <v>1</v>
      </c>
      <c r="E1272" s="3">
        <v>0</v>
      </c>
      <c r="F1272" s="90">
        <v>0</v>
      </c>
    </row>
    <row r="1273" spans="1:6" x14ac:dyDescent="0.3">
      <c r="A1273" s="1" t="s">
        <v>136</v>
      </c>
      <c r="B1273" s="1" t="s">
        <v>5</v>
      </c>
      <c r="C1273" s="1">
        <v>11</v>
      </c>
      <c r="D1273" s="1">
        <v>714</v>
      </c>
      <c r="E1273" s="3">
        <v>2856</v>
      </c>
      <c r="F1273" s="90">
        <v>4</v>
      </c>
    </row>
    <row r="1274" spans="1:6" x14ac:dyDescent="0.3">
      <c r="A1274" s="1" t="s">
        <v>136</v>
      </c>
      <c r="B1274" s="1" t="s">
        <v>5</v>
      </c>
      <c r="C1274" s="1">
        <v>12</v>
      </c>
      <c r="D1274" s="1">
        <v>1451</v>
      </c>
      <c r="E1274" s="3">
        <v>7255</v>
      </c>
      <c r="F1274" s="90">
        <v>5</v>
      </c>
    </row>
    <row r="1275" spans="1:6" x14ac:dyDescent="0.3">
      <c r="A1275" s="1" t="s">
        <v>136</v>
      </c>
      <c r="B1275" s="1" t="s">
        <v>5</v>
      </c>
      <c r="C1275" s="1">
        <v>13</v>
      </c>
      <c r="D1275" s="1">
        <v>33</v>
      </c>
      <c r="E1275" s="3">
        <v>81.599999999999994</v>
      </c>
      <c r="F1275" s="90">
        <v>2.47272727272727</v>
      </c>
    </row>
    <row r="1276" spans="1:6" x14ac:dyDescent="0.3">
      <c r="A1276" s="1" t="s">
        <v>136</v>
      </c>
      <c r="B1276" s="1" t="s">
        <v>5</v>
      </c>
      <c r="C1276" s="1">
        <v>14</v>
      </c>
      <c r="D1276" s="1">
        <v>30</v>
      </c>
      <c r="E1276" s="3">
        <v>185.5</v>
      </c>
      <c r="F1276" s="90">
        <v>6.18333333333333</v>
      </c>
    </row>
    <row r="1277" spans="1:6" x14ac:dyDescent="0.3">
      <c r="A1277" s="1" t="s">
        <v>136</v>
      </c>
      <c r="B1277" s="1" t="s">
        <v>5</v>
      </c>
      <c r="C1277" s="1">
        <v>15</v>
      </c>
      <c r="D1277" s="1">
        <v>24</v>
      </c>
      <c r="E1277" s="3">
        <v>78.8</v>
      </c>
      <c r="F1277" s="90">
        <v>3.2833333333333301</v>
      </c>
    </row>
    <row r="1278" spans="1:6" x14ac:dyDescent="0.3">
      <c r="A1278" s="1" t="s">
        <v>136</v>
      </c>
      <c r="B1278" s="1" t="s">
        <v>5</v>
      </c>
      <c r="C1278" s="1">
        <v>16</v>
      </c>
      <c r="D1278" s="1">
        <v>16</v>
      </c>
      <c r="E1278" s="3">
        <v>146.80000000000001</v>
      </c>
      <c r="F1278" s="90">
        <v>9.1750000000000007</v>
      </c>
    </row>
    <row r="1279" spans="1:6" x14ac:dyDescent="0.3">
      <c r="A1279" s="1" t="s">
        <v>137</v>
      </c>
      <c r="B1279" s="1" t="s">
        <v>159</v>
      </c>
      <c r="C1279" s="1">
        <v>41</v>
      </c>
      <c r="D1279" s="1">
        <v>1</v>
      </c>
      <c r="E1279" s="3">
        <v>2</v>
      </c>
      <c r="F1279" s="90">
        <v>2</v>
      </c>
    </row>
    <row r="1280" spans="1:6" x14ac:dyDescent="0.3">
      <c r="A1280" s="1" t="s">
        <v>137</v>
      </c>
      <c r="B1280" s="1" t="s">
        <v>159</v>
      </c>
      <c r="C1280" s="1">
        <v>42</v>
      </c>
      <c r="D1280" s="1">
        <v>157</v>
      </c>
      <c r="E1280" s="3">
        <v>314</v>
      </c>
      <c r="F1280" s="90">
        <v>2</v>
      </c>
    </row>
    <row r="1281" spans="1:6" x14ac:dyDescent="0.3">
      <c r="A1281" s="1" t="s">
        <v>137</v>
      </c>
      <c r="B1281" s="1" t="s">
        <v>5</v>
      </c>
      <c r="C1281" s="1">
        <v>0</v>
      </c>
      <c r="D1281" s="1">
        <v>5</v>
      </c>
      <c r="E1281" s="3">
        <v>0</v>
      </c>
      <c r="F1281" s="90">
        <v>0</v>
      </c>
    </row>
    <row r="1282" spans="1:6" x14ac:dyDescent="0.3">
      <c r="A1282" s="1" t="s">
        <v>137</v>
      </c>
      <c r="B1282" s="1" t="s">
        <v>5</v>
      </c>
      <c r="C1282" s="1">
        <v>11</v>
      </c>
      <c r="D1282" s="1">
        <v>37</v>
      </c>
      <c r="E1282" s="3">
        <v>148</v>
      </c>
      <c r="F1282" s="90">
        <v>4</v>
      </c>
    </row>
    <row r="1283" spans="1:6" x14ac:dyDescent="0.3">
      <c r="A1283" s="1" t="s">
        <v>137</v>
      </c>
      <c r="B1283" s="1" t="s">
        <v>5</v>
      </c>
      <c r="C1283" s="1">
        <v>12</v>
      </c>
      <c r="D1283" s="1">
        <v>23</v>
      </c>
      <c r="E1283" s="3">
        <v>138</v>
      </c>
      <c r="F1283" s="90">
        <v>6</v>
      </c>
    </row>
    <row r="1284" spans="1:6" x14ac:dyDescent="0.3">
      <c r="A1284" s="1" t="s">
        <v>137</v>
      </c>
      <c r="B1284" s="1" t="s">
        <v>5</v>
      </c>
      <c r="C1284" s="1">
        <v>13</v>
      </c>
      <c r="D1284" s="1">
        <v>4</v>
      </c>
      <c r="E1284" s="3">
        <v>8</v>
      </c>
      <c r="F1284" s="90">
        <v>2</v>
      </c>
    </row>
    <row r="1285" spans="1:6" x14ac:dyDescent="0.3">
      <c r="A1285" s="1" t="s">
        <v>137</v>
      </c>
      <c r="B1285" s="1" t="s">
        <v>5</v>
      </c>
      <c r="C1285" s="1">
        <v>15</v>
      </c>
      <c r="D1285" s="1">
        <v>3</v>
      </c>
      <c r="E1285" s="3">
        <v>9</v>
      </c>
      <c r="F1285" s="90">
        <v>3</v>
      </c>
    </row>
    <row r="1286" spans="1:6" x14ac:dyDescent="0.3">
      <c r="A1286" s="1" t="s">
        <v>138</v>
      </c>
      <c r="B1286" s="1" t="s">
        <v>5</v>
      </c>
      <c r="C1286" s="1">
        <v>0</v>
      </c>
      <c r="D1286" s="1">
        <v>147</v>
      </c>
      <c r="E1286" s="3">
        <v>0</v>
      </c>
      <c r="F1286" s="90">
        <v>0</v>
      </c>
    </row>
    <row r="1287" spans="1:6" x14ac:dyDescent="0.3">
      <c r="A1287" s="1" t="s">
        <v>138</v>
      </c>
      <c r="B1287" s="1" t="s">
        <v>5</v>
      </c>
      <c r="C1287" s="1">
        <v>11</v>
      </c>
      <c r="D1287" s="1">
        <v>1256</v>
      </c>
      <c r="E1287" s="3">
        <v>5024</v>
      </c>
      <c r="F1287" s="90">
        <v>4</v>
      </c>
    </row>
    <row r="1288" spans="1:6" x14ac:dyDescent="0.3">
      <c r="A1288" s="1" t="s">
        <v>138</v>
      </c>
      <c r="B1288" s="1" t="s">
        <v>5</v>
      </c>
      <c r="C1288" s="1">
        <v>12</v>
      </c>
      <c r="D1288" s="1">
        <v>3003</v>
      </c>
      <c r="E1288" s="3">
        <v>12012</v>
      </c>
      <c r="F1288" s="90">
        <v>4</v>
      </c>
    </row>
    <row r="1289" spans="1:6" x14ac:dyDescent="0.3">
      <c r="A1289" s="1" t="s">
        <v>138</v>
      </c>
      <c r="B1289" s="1" t="s">
        <v>5</v>
      </c>
      <c r="C1289" s="1">
        <v>13</v>
      </c>
      <c r="D1289" s="1">
        <v>7</v>
      </c>
      <c r="E1289" s="3">
        <v>14</v>
      </c>
      <c r="F1289" s="90">
        <v>2</v>
      </c>
    </row>
    <row r="1290" spans="1:6" x14ac:dyDescent="0.3">
      <c r="A1290" s="1" t="s">
        <v>138</v>
      </c>
      <c r="B1290" s="1" t="s">
        <v>5</v>
      </c>
      <c r="C1290" s="1">
        <v>14</v>
      </c>
      <c r="D1290" s="1">
        <v>2</v>
      </c>
      <c r="E1290" s="3">
        <v>16</v>
      </c>
      <c r="F1290" s="90">
        <v>8</v>
      </c>
    </row>
    <row r="1291" spans="1:6" x14ac:dyDescent="0.3">
      <c r="A1291" s="1" t="s">
        <v>138</v>
      </c>
      <c r="B1291" s="1" t="s">
        <v>5</v>
      </c>
      <c r="C1291" s="1">
        <v>15</v>
      </c>
      <c r="D1291" s="1">
        <v>21</v>
      </c>
      <c r="E1291" s="3">
        <v>43</v>
      </c>
      <c r="F1291" s="90">
        <v>2.0476190476190501</v>
      </c>
    </row>
    <row r="1292" spans="1:6" x14ac:dyDescent="0.3">
      <c r="A1292" s="1" t="s">
        <v>138</v>
      </c>
      <c r="B1292" s="1" t="s">
        <v>5</v>
      </c>
      <c r="C1292" s="1">
        <v>16</v>
      </c>
      <c r="D1292" s="1">
        <v>3</v>
      </c>
      <c r="E1292" s="3">
        <v>21.5</v>
      </c>
      <c r="F1292" s="90">
        <v>7.1666666666666696</v>
      </c>
    </row>
    <row r="1293" spans="1:6" x14ac:dyDescent="0.3">
      <c r="A1293" s="1" t="s">
        <v>139</v>
      </c>
      <c r="B1293" s="1" t="s">
        <v>5</v>
      </c>
      <c r="C1293" s="1">
        <v>0</v>
      </c>
      <c r="D1293" s="1">
        <v>10</v>
      </c>
      <c r="E1293" s="3">
        <v>0</v>
      </c>
      <c r="F1293" s="90">
        <v>0</v>
      </c>
    </row>
    <row r="1294" spans="1:6" x14ac:dyDescent="0.3">
      <c r="A1294" s="1" t="s">
        <v>139</v>
      </c>
      <c r="B1294" s="1" t="s">
        <v>5</v>
      </c>
      <c r="C1294" s="1">
        <v>11</v>
      </c>
      <c r="D1294" s="1">
        <v>183</v>
      </c>
      <c r="E1294" s="3">
        <v>549</v>
      </c>
      <c r="F1294" s="90">
        <v>3</v>
      </c>
    </row>
    <row r="1295" spans="1:6" x14ac:dyDescent="0.3">
      <c r="A1295" s="1" t="s">
        <v>139</v>
      </c>
      <c r="B1295" s="1" t="s">
        <v>5</v>
      </c>
      <c r="C1295" s="1">
        <v>12</v>
      </c>
      <c r="D1295" s="1">
        <v>564</v>
      </c>
      <c r="E1295" s="3">
        <v>2256</v>
      </c>
      <c r="F1295" s="90">
        <v>4</v>
      </c>
    </row>
    <row r="1296" spans="1:6" x14ac:dyDescent="0.3">
      <c r="A1296" s="1" t="s">
        <v>140</v>
      </c>
      <c r="B1296" s="1" t="s">
        <v>159</v>
      </c>
      <c r="C1296" s="1">
        <v>42</v>
      </c>
      <c r="D1296" s="1">
        <v>2</v>
      </c>
      <c r="E1296" s="3">
        <v>4</v>
      </c>
      <c r="F1296" s="90">
        <v>2</v>
      </c>
    </row>
    <row r="1297" spans="1:6" x14ac:dyDescent="0.3">
      <c r="A1297" s="1" t="s">
        <v>140</v>
      </c>
      <c r="B1297" s="1" t="s">
        <v>5</v>
      </c>
      <c r="C1297" s="1">
        <v>0</v>
      </c>
      <c r="D1297" s="1">
        <v>201</v>
      </c>
      <c r="E1297" s="3">
        <v>0</v>
      </c>
      <c r="F1297" s="90">
        <v>0</v>
      </c>
    </row>
    <row r="1298" spans="1:6" x14ac:dyDescent="0.3">
      <c r="A1298" s="1" t="s">
        <v>140</v>
      </c>
      <c r="B1298" s="1" t="s">
        <v>5</v>
      </c>
      <c r="C1298" s="1">
        <v>11</v>
      </c>
      <c r="D1298" s="1">
        <v>811</v>
      </c>
      <c r="E1298" s="3">
        <v>2433</v>
      </c>
      <c r="F1298" s="90">
        <v>3</v>
      </c>
    </row>
    <row r="1299" spans="1:6" x14ac:dyDescent="0.3">
      <c r="A1299" s="1" t="s">
        <v>140</v>
      </c>
      <c r="B1299" s="1" t="s">
        <v>5</v>
      </c>
      <c r="C1299" s="1">
        <v>12</v>
      </c>
      <c r="D1299" s="1">
        <v>2985</v>
      </c>
      <c r="E1299" s="3">
        <v>14925</v>
      </c>
      <c r="F1299" s="90">
        <v>5</v>
      </c>
    </row>
    <row r="1300" spans="1:6" x14ac:dyDescent="0.3">
      <c r="A1300" s="1" t="s">
        <v>140</v>
      </c>
      <c r="B1300" s="1" t="s">
        <v>5</v>
      </c>
      <c r="C1300" s="1">
        <v>13</v>
      </c>
      <c r="D1300" s="1">
        <v>3</v>
      </c>
      <c r="E1300" s="3">
        <v>6</v>
      </c>
      <c r="F1300" s="90">
        <v>2</v>
      </c>
    </row>
    <row r="1301" spans="1:6" x14ac:dyDescent="0.3">
      <c r="A1301" s="1" t="s">
        <v>140</v>
      </c>
      <c r="B1301" s="1" t="s">
        <v>5</v>
      </c>
      <c r="C1301" s="1">
        <v>14</v>
      </c>
      <c r="D1301" s="1">
        <v>7</v>
      </c>
      <c r="E1301" s="3">
        <v>54.5</v>
      </c>
      <c r="F1301" s="90">
        <v>7.78571428571429</v>
      </c>
    </row>
    <row r="1302" spans="1:6" x14ac:dyDescent="0.3">
      <c r="A1302" s="1" t="s">
        <v>140</v>
      </c>
      <c r="B1302" s="1" t="s">
        <v>5</v>
      </c>
      <c r="C1302" s="1">
        <v>15</v>
      </c>
      <c r="D1302" s="1">
        <v>5</v>
      </c>
      <c r="E1302" s="3">
        <v>16.399999999999999</v>
      </c>
      <c r="F1302" s="90">
        <v>3.28</v>
      </c>
    </row>
    <row r="1303" spans="1:6" x14ac:dyDescent="0.3">
      <c r="A1303" s="1" t="s">
        <v>140</v>
      </c>
      <c r="B1303" s="1" t="s">
        <v>5</v>
      </c>
      <c r="C1303" s="1">
        <v>16</v>
      </c>
      <c r="D1303" s="1">
        <v>4</v>
      </c>
      <c r="E1303" s="3">
        <v>28.8</v>
      </c>
      <c r="F1303" s="90">
        <v>7.2</v>
      </c>
    </row>
    <row r="1304" spans="1:6" x14ac:dyDescent="0.3">
      <c r="A1304" s="1" t="s">
        <v>141</v>
      </c>
      <c r="B1304" s="1" t="s">
        <v>159</v>
      </c>
      <c r="C1304" s="1">
        <v>42</v>
      </c>
      <c r="D1304" s="1">
        <v>9</v>
      </c>
      <c r="E1304" s="3">
        <v>18</v>
      </c>
      <c r="F1304" s="90">
        <v>2</v>
      </c>
    </row>
    <row r="1305" spans="1:6" x14ac:dyDescent="0.3">
      <c r="A1305" s="1" t="s">
        <v>141</v>
      </c>
      <c r="B1305" s="1" t="s">
        <v>5</v>
      </c>
      <c r="C1305" s="1">
        <v>0</v>
      </c>
      <c r="D1305" s="1">
        <v>249</v>
      </c>
      <c r="E1305" s="3">
        <v>0</v>
      </c>
      <c r="F1305" s="90">
        <v>0</v>
      </c>
    </row>
    <row r="1306" spans="1:6" x14ac:dyDescent="0.3">
      <c r="A1306" s="1" t="s">
        <v>141</v>
      </c>
      <c r="B1306" s="1" t="s">
        <v>5</v>
      </c>
      <c r="C1306" s="1">
        <v>11</v>
      </c>
      <c r="D1306" s="1">
        <v>579</v>
      </c>
      <c r="E1306" s="3">
        <v>1737</v>
      </c>
      <c r="F1306" s="90">
        <v>3</v>
      </c>
    </row>
    <row r="1307" spans="1:6" x14ac:dyDescent="0.3">
      <c r="A1307" s="1" t="s">
        <v>141</v>
      </c>
      <c r="B1307" s="1" t="s">
        <v>5</v>
      </c>
      <c r="C1307" s="1">
        <v>12</v>
      </c>
      <c r="D1307" s="1">
        <v>2977</v>
      </c>
      <c r="E1307" s="3">
        <v>14885</v>
      </c>
      <c r="F1307" s="90">
        <v>5</v>
      </c>
    </row>
    <row r="1308" spans="1:6" x14ac:dyDescent="0.3">
      <c r="A1308" s="1" t="s">
        <v>141</v>
      </c>
      <c r="B1308" s="1" t="s">
        <v>5</v>
      </c>
      <c r="C1308" s="1">
        <v>13</v>
      </c>
      <c r="D1308" s="1">
        <v>2</v>
      </c>
      <c r="E1308" s="3">
        <v>4.5999999999999996</v>
      </c>
      <c r="F1308" s="90">
        <v>2.2999999999999998</v>
      </c>
    </row>
    <row r="1309" spans="1:6" x14ac:dyDescent="0.3">
      <c r="A1309" s="1" t="s">
        <v>141</v>
      </c>
      <c r="B1309" s="1" t="s">
        <v>5</v>
      </c>
      <c r="C1309" s="1">
        <v>14</v>
      </c>
      <c r="D1309" s="1">
        <v>2</v>
      </c>
      <c r="E1309" s="3">
        <v>17.5</v>
      </c>
      <c r="F1309" s="90">
        <v>8.75</v>
      </c>
    </row>
    <row r="1310" spans="1:6" x14ac:dyDescent="0.3">
      <c r="A1310" s="1" t="s">
        <v>141</v>
      </c>
      <c r="B1310" s="1" t="s">
        <v>5</v>
      </c>
      <c r="C1310" s="1">
        <v>15</v>
      </c>
      <c r="D1310" s="1">
        <v>4</v>
      </c>
      <c r="E1310" s="3">
        <v>11.6</v>
      </c>
      <c r="F1310" s="90">
        <v>2.9</v>
      </c>
    </row>
    <row r="1311" spans="1:6" x14ac:dyDescent="0.3">
      <c r="A1311" s="1" t="s">
        <v>141</v>
      </c>
      <c r="B1311" s="1" t="s">
        <v>5</v>
      </c>
      <c r="C1311" s="1">
        <v>16</v>
      </c>
      <c r="D1311" s="1">
        <v>4</v>
      </c>
      <c r="E1311" s="3">
        <v>37</v>
      </c>
      <c r="F1311" s="90">
        <v>9.25</v>
      </c>
    </row>
    <row r="1312" spans="1:6" x14ac:dyDescent="0.3">
      <c r="A1312" s="1" t="s">
        <v>142</v>
      </c>
      <c r="B1312" s="1" t="s">
        <v>159</v>
      </c>
      <c r="C1312" s="1">
        <v>42</v>
      </c>
      <c r="D1312" s="1">
        <v>2</v>
      </c>
      <c r="E1312" s="3">
        <v>4</v>
      </c>
      <c r="F1312" s="90">
        <v>2</v>
      </c>
    </row>
    <row r="1313" spans="1:6" x14ac:dyDescent="0.3">
      <c r="A1313" s="1" t="s">
        <v>142</v>
      </c>
      <c r="B1313" s="1" t="s">
        <v>5</v>
      </c>
      <c r="C1313" s="1">
        <v>0</v>
      </c>
      <c r="D1313" s="1">
        <v>3</v>
      </c>
      <c r="E1313" s="3">
        <v>0</v>
      </c>
      <c r="F1313" s="90">
        <v>0</v>
      </c>
    </row>
    <row r="1314" spans="1:6" x14ac:dyDescent="0.3">
      <c r="A1314" s="1" t="s">
        <v>142</v>
      </c>
      <c r="B1314" s="1" t="s">
        <v>5</v>
      </c>
      <c r="C1314" s="1">
        <v>11</v>
      </c>
      <c r="D1314" s="1">
        <v>66</v>
      </c>
      <c r="E1314" s="3">
        <v>264</v>
      </c>
      <c r="F1314" s="90">
        <v>4</v>
      </c>
    </row>
    <row r="1315" spans="1:6" x14ac:dyDescent="0.3">
      <c r="A1315" s="1" t="s">
        <v>142</v>
      </c>
      <c r="B1315" s="1" t="s">
        <v>5</v>
      </c>
      <c r="C1315" s="1">
        <v>12</v>
      </c>
      <c r="D1315" s="1">
        <v>86</v>
      </c>
      <c r="E1315" s="3">
        <v>430</v>
      </c>
      <c r="F1315" s="90">
        <v>5</v>
      </c>
    </row>
    <row r="1316" spans="1:6" x14ac:dyDescent="0.3">
      <c r="A1316" s="1" t="s">
        <v>143</v>
      </c>
      <c r="B1316" s="1" t="s">
        <v>159</v>
      </c>
      <c r="C1316" s="1">
        <v>41</v>
      </c>
      <c r="D1316" s="1">
        <v>3</v>
      </c>
      <c r="E1316" s="3">
        <v>6</v>
      </c>
      <c r="F1316" s="90">
        <v>2</v>
      </c>
    </row>
    <row r="1317" spans="1:6" x14ac:dyDescent="0.3">
      <c r="A1317" s="1" t="s">
        <v>143</v>
      </c>
      <c r="B1317" s="1" t="s">
        <v>159</v>
      </c>
      <c r="C1317" s="1">
        <v>42</v>
      </c>
      <c r="D1317" s="1">
        <v>22</v>
      </c>
      <c r="E1317" s="3">
        <v>44</v>
      </c>
      <c r="F1317" s="90">
        <v>2</v>
      </c>
    </row>
    <row r="1318" spans="1:6" x14ac:dyDescent="0.3">
      <c r="A1318" s="1" t="s">
        <v>143</v>
      </c>
      <c r="B1318" s="1" t="s">
        <v>5</v>
      </c>
      <c r="C1318" s="1">
        <v>0</v>
      </c>
      <c r="D1318" s="1">
        <v>39</v>
      </c>
      <c r="E1318" s="3">
        <v>0</v>
      </c>
      <c r="F1318" s="90">
        <v>0</v>
      </c>
    </row>
    <row r="1319" spans="1:6" x14ac:dyDescent="0.3">
      <c r="A1319" s="1" t="s">
        <v>143</v>
      </c>
      <c r="B1319" s="1" t="s">
        <v>5</v>
      </c>
      <c r="C1319" s="1">
        <v>11</v>
      </c>
      <c r="D1319" s="1">
        <v>555</v>
      </c>
      <c r="E1319" s="3">
        <v>2775</v>
      </c>
      <c r="F1319" s="90">
        <v>5</v>
      </c>
    </row>
    <row r="1320" spans="1:6" x14ac:dyDescent="0.3">
      <c r="A1320" s="1" t="s">
        <v>143</v>
      </c>
      <c r="B1320" s="1" t="s">
        <v>5</v>
      </c>
      <c r="C1320" s="1">
        <v>12</v>
      </c>
      <c r="D1320" s="1">
        <v>271</v>
      </c>
      <c r="E1320" s="3">
        <v>1897</v>
      </c>
      <c r="F1320" s="90">
        <v>7</v>
      </c>
    </row>
    <row r="1321" spans="1:6" x14ac:dyDescent="0.3">
      <c r="A1321" s="1" t="s">
        <v>143</v>
      </c>
      <c r="B1321" s="1" t="s">
        <v>5</v>
      </c>
      <c r="C1321" s="1">
        <v>13</v>
      </c>
      <c r="D1321" s="1">
        <v>23</v>
      </c>
      <c r="E1321" s="3">
        <v>64.400000000000006</v>
      </c>
      <c r="F1321" s="90">
        <v>2.8</v>
      </c>
    </row>
    <row r="1322" spans="1:6" x14ac:dyDescent="0.3">
      <c r="A1322" s="1" t="s">
        <v>143</v>
      </c>
      <c r="B1322" s="1" t="s">
        <v>5</v>
      </c>
      <c r="C1322" s="1">
        <v>14</v>
      </c>
      <c r="D1322" s="1">
        <v>3</v>
      </c>
      <c r="E1322" s="3">
        <v>39</v>
      </c>
      <c r="F1322" s="90">
        <v>13</v>
      </c>
    </row>
    <row r="1323" spans="1:6" x14ac:dyDescent="0.3">
      <c r="A1323" s="1" t="s">
        <v>143</v>
      </c>
      <c r="B1323" s="1" t="s">
        <v>5</v>
      </c>
      <c r="C1323" s="1">
        <v>15</v>
      </c>
      <c r="D1323" s="1">
        <v>26</v>
      </c>
      <c r="E1323" s="3">
        <v>110.8</v>
      </c>
      <c r="F1323" s="90">
        <v>4.2615384615384597</v>
      </c>
    </row>
    <row r="1324" spans="1:6" x14ac:dyDescent="0.3">
      <c r="A1324" s="1" t="s">
        <v>143</v>
      </c>
      <c r="B1324" s="1" t="s">
        <v>5</v>
      </c>
      <c r="C1324" s="1">
        <v>16</v>
      </c>
      <c r="D1324" s="1">
        <v>2</v>
      </c>
      <c r="E1324" s="3">
        <v>24.5</v>
      </c>
      <c r="F1324" s="90">
        <v>12.25</v>
      </c>
    </row>
    <row r="1325" spans="1:6" x14ac:dyDescent="0.3">
      <c r="A1325" s="1" t="s">
        <v>144</v>
      </c>
      <c r="B1325" s="1" t="s">
        <v>159</v>
      </c>
      <c r="C1325" s="1">
        <v>41</v>
      </c>
      <c r="D1325" s="1">
        <v>1</v>
      </c>
      <c r="E1325" s="3">
        <v>2</v>
      </c>
      <c r="F1325" s="90">
        <v>2</v>
      </c>
    </row>
    <row r="1326" spans="1:6" x14ac:dyDescent="0.3">
      <c r="A1326" s="1" t="s">
        <v>144</v>
      </c>
      <c r="B1326" s="1" t="s">
        <v>159</v>
      </c>
      <c r="C1326" s="1">
        <v>42</v>
      </c>
      <c r="D1326" s="1">
        <v>3</v>
      </c>
      <c r="E1326" s="3">
        <v>6</v>
      </c>
      <c r="F1326" s="90">
        <v>2</v>
      </c>
    </row>
    <row r="1327" spans="1:6" x14ac:dyDescent="0.3">
      <c r="A1327" s="1" t="s">
        <v>144</v>
      </c>
      <c r="B1327" s="1" t="s">
        <v>5</v>
      </c>
      <c r="C1327" s="1">
        <v>0</v>
      </c>
      <c r="D1327" s="1">
        <v>1</v>
      </c>
      <c r="E1327" s="3">
        <v>0</v>
      </c>
      <c r="F1327" s="90">
        <v>0</v>
      </c>
    </row>
    <row r="1328" spans="1:6" x14ac:dyDescent="0.3">
      <c r="A1328" s="1" t="s">
        <v>144</v>
      </c>
      <c r="B1328" s="1" t="s">
        <v>5</v>
      </c>
      <c r="C1328" s="1">
        <v>11</v>
      </c>
      <c r="D1328" s="1">
        <v>21</v>
      </c>
      <c r="E1328" s="3">
        <v>168</v>
      </c>
      <c r="F1328" s="90">
        <v>8</v>
      </c>
    </row>
    <row r="1329" spans="1:6" x14ac:dyDescent="0.3">
      <c r="A1329" s="1" t="s">
        <v>144</v>
      </c>
      <c r="B1329" s="1" t="s">
        <v>5</v>
      </c>
      <c r="C1329" s="1">
        <v>12</v>
      </c>
      <c r="D1329" s="1">
        <v>9</v>
      </c>
      <c r="E1329" s="3">
        <v>81</v>
      </c>
      <c r="F1329" s="90">
        <v>9</v>
      </c>
    </row>
    <row r="1330" spans="1:6" x14ac:dyDescent="0.3">
      <c r="A1330" s="1" t="s">
        <v>144</v>
      </c>
      <c r="B1330" s="1" t="s">
        <v>5</v>
      </c>
      <c r="C1330" s="1">
        <v>13</v>
      </c>
      <c r="D1330" s="1">
        <v>1</v>
      </c>
      <c r="E1330" s="3">
        <v>6</v>
      </c>
      <c r="F1330" s="90">
        <v>6</v>
      </c>
    </row>
    <row r="1331" spans="1:6" x14ac:dyDescent="0.3">
      <c r="A1331" s="1" t="s">
        <v>144</v>
      </c>
      <c r="B1331" s="1" t="s">
        <v>5</v>
      </c>
      <c r="C1331" s="1">
        <v>15</v>
      </c>
      <c r="D1331" s="1">
        <v>1</v>
      </c>
      <c r="E1331" s="3">
        <v>5</v>
      </c>
      <c r="F1331" s="90">
        <v>5</v>
      </c>
    </row>
    <row r="1332" spans="1:6" x14ac:dyDescent="0.3">
      <c r="A1332" s="1" t="s">
        <v>144</v>
      </c>
      <c r="B1332" s="1" t="s">
        <v>5</v>
      </c>
      <c r="C1332" s="1">
        <v>16</v>
      </c>
      <c r="D1332" s="1">
        <v>1</v>
      </c>
      <c r="E1332" s="3">
        <v>12</v>
      </c>
      <c r="F1332" s="90">
        <v>12</v>
      </c>
    </row>
    <row r="1333" spans="1:6" x14ac:dyDescent="0.3">
      <c r="A1333" s="1" t="s">
        <v>145</v>
      </c>
      <c r="B1333" s="1" t="s">
        <v>159</v>
      </c>
      <c r="C1333" s="1">
        <v>42</v>
      </c>
      <c r="D1333" s="1">
        <v>6</v>
      </c>
      <c r="E1333" s="3">
        <v>12</v>
      </c>
      <c r="F1333" s="90">
        <v>2</v>
      </c>
    </row>
    <row r="1334" spans="1:6" x14ac:dyDescent="0.3">
      <c r="A1334" s="1" t="s">
        <v>145</v>
      </c>
      <c r="B1334" s="1" t="s">
        <v>5</v>
      </c>
      <c r="C1334" s="1">
        <v>0</v>
      </c>
      <c r="D1334" s="1">
        <v>6</v>
      </c>
      <c r="E1334" s="3">
        <v>0</v>
      </c>
      <c r="F1334" s="90">
        <v>0</v>
      </c>
    </row>
    <row r="1335" spans="1:6" x14ac:dyDescent="0.3">
      <c r="A1335" s="1" t="s">
        <v>145</v>
      </c>
      <c r="B1335" s="1" t="s">
        <v>5</v>
      </c>
      <c r="C1335" s="1">
        <v>11</v>
      </c>
      <c r="D1335" s="1">
        <v>521</v>
      </c>
      <c r="E1335" s="3">
        <v>1563</v>
      </c>
      <c r="F1335" s="90">
        <v>3</v>
      </c>
    </row>
    <row r="1336" spans="1:6" x14ac:dyDescent="0.3">
      <c r="A1336" s="1" t="s">
        <v>145</v>
      </c>
      <c r="B1336" s="1" t="s">
        <v>5</v>
      </c>
      <c r="C1336" s="1">
        <v>12</v>
      </c>
      <c r="D1336" s="1">
        <v>546</v>
      </c>
      <c r="E1336" s="3">
        <v>3276</v>
      </c>
      <c r="F1336" s="90">
        <v>6</v>
      </c>
    </row>
    <row r="1337" spans="1:6" x14ac:dyDescent="0.3">
      <c r="A1337" s="1" t="s">
        <v>145</v>
      </c>
      <c r="B1337" s="1" t="s">
        <v>5</v>
      </c>
      <c r="C1337" s="1">
        <v>13</v>
      </c>
      <c r="D1337" s="1">
        <v>32</v>
      </c>
      <c r="E1337" s="3">
        <v>66.099999999999994</v>
      </c>
      <c r="F1337" s="90">
        <v>2.0656249999999998</v>
      </c>
    </row>
    <row r="1338" spans="1:6" x14ac:dyDescent="0.3">
      <c r="A1338" s="1" t="s">
        <v>145</v>
      </c>
      <c r="B1338" s="1" t="s">
        <v>5</v>
      </c>
      <c r="C1338" s="1">
        <v>14</v>
      </c>
      <c r="D1338" s="1">
        <v>66</v>
      </c>
      <c r="E1338" s="3">
        <v>509.2</v>
      </c>
      <c r="F1338" s="90">
        <v>7.7151515151515202</v>
      </c>
    </row>
    <row r="1339" spans="1:6" x14ac:dyDescent="0.3">
      <c r="A1339" s="1" t="s">
        <v>145</v>
      </c>
      <c r="B1339" s="1" t="s">
        <v>5</v>
      </c>
      <c r="C1339" s="1">
        <v>15</v>
      </c>
      <c r="D1339" s="1">
        <v>56</v>
      </c>
      <c r="E1339" s="3">
        <v>223.6</v>
      </c>
      <c r="F1339" s="90">
        <v>3.9928571428571402</v>
      </c>
    </row>
    <row r="1340" spans="1:6" x14ac:dyDescent="0.3">
      <c r="A1340" s="1" t="s">
        <v>145</v>
      </c>
      <c r="B1340" s="1" t="s">
        <v>5</v>
      </c>
      <c r="C1340" s="1">
        <v>16</v>
      </c>
      <c r="D1340" s="1">
        <v>14</v>
      </c>
      <c r="E1340" s="3">
        <v>159</v>
      </c>
      <c r="F1340" s="90">
        <v>11.3571428571429</v>
      </c>
    </row>
    <row r="1341" spans="1:6" x14ac:dyDescent="0.3">
      <c r="A1341" s="1" t="s">
        <v>146</v>
      </c>
      <c r="B1341" s="1" t="s">
        <v>159</v>
      </c>
      <c r="C1341" s="1">
        <v>42</v>
      </c>
      <c r="D1341" s="1">
        <v>99</v>
      </c>
      <c r="E1341" s="3">
        <v>198</v>
      </c>
      <c r="F1341" s="90">
        <v>2</v>
      </c>
    </row>
    <row r="1342" spans="1:6" x14ac:dyDescent="0.3">
      <c r="A1342" s="1" t="s">
        <v>146</v>
      </c>
      <c r="B1342" s="1" t="s">
        <v>5</v>
      </c>
      <c r="C1342" s="1">
        <v>0</v>
      </c>
      <c r="D1342" s="1">
        <v>23</v>
      </c>
      <c r="E1342" s="3">
        <v>0</v>
      </c>
      <c r="F1342" s="90">
        <v>0</v>
      </c>
    </row>
    <row r="1343" spans="1:6" x14ac:dyDescent="0.3">
      <c r="A1343" s="1" t="s">
        <v>146</v>
      </c>
      <c r="B1343" s="1" t="s">
        <v>5</v>
      </c>
      <c r="C1343" s="1">
        <v>11</v>
      </c>
      <c r="D1343" s="1">
        <v>377</v>
      </c>
      <c r="E1343" s="3">
        <v>1508</v>
      </c>
      <c r="F1343" s="90">
        <v>4</v>
      </c>
    </row>
    <row r="1344" spans="1:6" x14ac:dyDescent="0.3">
      <c r="A1344" s="1" t="s">
        <v>146</v>
      </c>
      <c r="B1344" s="1" t="s">
        <v>5</v>
      </c>
      <c r="C1344" s="1">
        <v>12</v>
      </c>
      <c r="D1344" s="1">
        <v>905</v>
      </c>
      <c r="E1344" s="3">
        <v>5430</v>
      </c>
      <c r="F1344" s="90">
        <v>6</v>
      </c>
    </row>
    <row r="1345" spans="1:6" x14ac:dyDescent="0.3">
      <c r="A1345" s="1" t="s">
        <v>146</v>
      </c>
      <c r="B1345" s="1" t="s">
        <v>5</v>
      </c>
      <c r="C1345" s="1">
        <v>13</v>
      </c>
      <c r="D1345" s="1">
        <v>3</v>
      </c>
      <c r="E1345" s="3">
        <v>8</v>
      </c>
      <c r="F1345" s="90">
        <v>2.6666666666666701</v>
      </c>
    </row>
    <row r="1346" spans="1:6" x14ac:dyDescent="0.3">
      <c r="A1346" s="1" t="s">
        <v>146</v>
      </c>
      <c r="B1346" s="1" t="s">
        <v>5</v>
      </c>
      <c r="C1346" s="1">
        <v>14</v>
      </c>
      <c r="D1346" s="1">
        <v>8</v>
      </c>
      <c r="E1346" s="3">
        <v>58</v>
      </c>
      <c r="F1346" s="90">
        <v>7.25</v>
      </c>
    </row>
    <row r="1347" spans="1:6" x14ac:dyDescent="0.3">
      <c r="A1347" s="1" t="s">
        <v>146</v>
      </c>
      <c r="B1347" s="1" t="s">
        <v>5</v>
      </c>
      <c r="C1347" s="1">
        <v>15</v>
      </c>
      <c r="D1347" s="1">
        <v>57</v>
      </c>
      <c r="E1347" s="3">
        <v>244</v>
      </c>
      <c r="F1347" s="90">
        <v>4.2807017543859596</v>
      </c>
    </row>
    <row r="1348" spans="1:6" x14ac:dyDescent="0.3">
      <c r="A1348" s="1" t="s">
        <v>146</v>
      </c>
      <c r="B1348" s="1" t="s">
        <v>5</v>
      </c>
      <c r="C1348" s="1">
        <v>16</v>
      </c>
      <c r="D1348" s="1">
        <v>9</v>
      </c>
      <c r="E1348" s="3">
        <v>82.5</v>
      </c>
      <c r="F1348" s="90">
        <v>9.1666666666666696</v>
      </c>
    </row>
    <row r="1349" spans="1:6" x14ac:dyDescent="0.3">
      <c r="A1349" s="1" t="s">
        <v>147</v>
      </c>
      <c r="B1349" s="1" t="s">
        <v>5</v>
      </c>
      <c r="C1349" s="1">
        <v>0</v>
      </c>
      <c r="D1349" s="1">
        <v>28</v>
      </c>
      <c r="E1349" s="3">
        <v>0</v>
      </c>
      <c r="F1349" s="90">
        <v>0</v>
      </c>
    </row>
    <row r="1350" spans="1:6" x14ac:dyDescent="0.3">
      <c r="A1350" s="1" t="s">
        <v>147</v>
      </c>
      <c r="B1350" s="1" t="s">
        <v>5</v>
      </c>
      <c r="C1350" s="1">
        <v>11</v>
      </c>
      <c r="D1350" s="1">
        <v>16</v>
      </c>
      <c r="E1350" s="3">
        <v>64</v>
      </c>
      <c r="F1350" s="90">
        <v>4</v>
      </c>
    </row>
    <row r="1351" spans="1:6" x14ac:dyDescent="0.3">
      <c r="A1351" s="1" t="s">
        <v>147</v>
      </c>
      <c r="B1351" s="1" t="s">
        <v>5</v>
      </c>
      <c r="C1351" s="1">
        <v>12</v>
      </c>
      <c r="D1351" s="1">
        <v>23</v>
      </c>
      <c r="E1351" s="3">
        <v>138</v>
      </c>
      <c r="F1351" s="90">
        <v>6</v>
      </c>
    </row>
    <row r="1352" spans="1:6" x14ac:dyDescent="0.3">
      <c r="A1352" s="1" t="s">
        <v>147</v>
      </c>
      <c r="B1352" s="1" t="s">
        <v>5</v>
      </c>
      <c r="C1352" s="1">
        <v>14</v>
      </c>
      <c r="D1352" s="1">
        <v>1</v>
      </c>
      <c r="E1352" s="3">
        <v>6</v>
      </c>
      <c r="F1352" s="90">
        <v>6</v>
      </c>
    </row>
    <row r="1353" spans="1:6" x14ac:dyDescent="0.3">
      <c r="A1353" s="1" t="s">
        <v>147</v>
      </c>
      <c r="B1353" s="1" t="s">
        <v>5</v>
      </c>
      <c r="C1353" s="1">
        <v>15</v>
      </c>
      <c r="D1353" s="1">
        <v>5</v>
      </c>
      <c r="E1353" s="3">
        <v>25</v>
      </c>
      <c r="F1353" s="90">
        <v>5</v>
      </c>
    </row>
    <row r="1354" spans="1:6" x14ac:dyDescent="0.3">
      <c r="A1354" s="1" t="s">
        <v>147</v>
      </c>
      <c r="B1354" s="1" t="s">
        <v>5</v>
      </c>
      <c r="C1354" s="1">
        <v>16</v>
      </c>
      <c r="D1354" s="1">
        <v>1</v>
      </c>
      <c r="E1354" s="3">
        <v>9</v>
      </c>
      <c r="F1354" s="90">
        <v>9</v>
      </c>
    </row>
    <row r="1355" spans="1:6" x14ac:dyDescent="0.3">
      <c r="A1355" s="1" t="s">
        <v>148</v>
      </c>
      <c r="B1355" s="1" t="s">
        <v>159</v>
      </c>
      <c r="C1355" s="1">
        <v>42</v>
      </c>
      <c r="D1355" s="1">
        <v>4</v>
      </c>
      <c r="E1355" s="3">
        <v>8</v>
      </c>
      <c r="F1355" s="90">
        <v>2</v>
      </c>
    </row>
    <row r="1356" spans="1:6" x14ac:dyDescent="0.3">
      <c r="A1356" s="1" t="s">
        <v>148</v>
      </c>
      <c r="B1356" s="1" t="s">
        <v>5</v>
      </c>
      <c r="C1356" s="1">
        <v>0</v>
      </c>
      <c r="D1356" s="1">
        <v>24</v>
      </c>
      <c r="E1356" s="3">
        <v>0</v>
      </c>
      <c r="F1356" s="90">
        <v>0</v>
      </c>
    </row>
    <row r="1357" spans="1:6" x14ac:dyDescent="0.3">
      <c r="A1357" s="1" t="s">
        <v>148</v>
      </c>
      <c r="B1357" s="1" t="s">
        <v>5</v>
      </c>
      <c r="C1357" s="1">
        <v>11</v>
      </c>
      <c r="D1357" s="1">
        <v>24</v>
      </c>
      <c r="E1357" s="3">
        <v>96</v>
      </c>
      <c r="F1357" s="90">
        <v>4</v>
      </c>
    </row>
    <row r="1358" spans="1:6" x14ac:dyDescent="0.3">
      <c r="A1358" s="1" t="s">
        <v>148</v>
      </c>
      <c r="B1358" s="1" t="s">
        <v>5</v>
      </c>
      <c r="C1358" s="1">
        <v>12</v>
      </c>
      <c r="D1358" s="1">
        <v>36</v>
      </c>
      <c r="E1358" s="3">
        <v>216</v>
      </c>
      <c r="F1358" s="90">
        <v>6</v>
      </c>
    </row>
    <row r="1359" spans="1:6" x14ac:dyDescent="0.3">
      <c r="A1359" s="1" t="s">
        <v>148</v>
      </c>
      <c r="B1359" s="1" t="s">
        <v>5</v>
      </c>
      <c r="C1359" s="1">
        <v>14</v>
      </c>
      <c r="D1359" s="1">
        <v>1</v>
      </c>
      <c r="E1359" s="3">
        <v>9</v>
      </c>
      <c r="F1359" s="90">
        <v>9</v>
      </c>
    </row>
    <row r="1360" spans="1:6" x14ac:dyDescent="0.3">
      <c r="A1360" s="1" t="s">
        <v>148</v>
      </c>
      <c r="B1360" s="1" t="s">
        <v>5</v>
      </c>
      <c r="C1360" s="1">
        <v>15</v>
      </c>
      <c r="D1360" s="1">
        <v>6</v>
      </c>
      <c r="E1360" s="3">
        <v>30</v>
      </c>
      <c r="F1360" s="90">
        <v>5</v>
      </c>
    </row>
    <row r="1361" spans="1:6" x14ac:dyDescent="0.3">
      <c r="A1361" s="1" t="s">
        <v>148</v>
      </c>
      <c r="B1361" s="1" t="s">
        <v>5</v>
      </c>
      <c r="C1361" s="1">
        <v>16</v>
      </c>
      <c r="D1361" s="1">
        <v>8</v>
      </c>
      <c r="E1361" s="3">
        <v>78</v>
      </c>
      <c r="F1361" s="90">
        <v>9.75</v>
      </c>
    </row>
    <row r="1362" spans="1:6" x14ac:dyDescent="0.3">
      <c r="A1362" s="1" t="s">
        <v>149</v>
      </c>
      <c r="B1362" s="1" t="s">
        <v>159</v>
      </c>
      <c r="C1362" s="1">
        <v>42</v>
      </c>
      <c r="D1362" s="1">
        <v>2</v>
      </c>
      <c r="E1362" s="3">
        <v>4</v>
      </c>
      <c r="F1362" s="90">
        <v>2</v>
      </c>
    </row>
    <row r="1363" spans="1:6" x14ac:dyDescent="0.3">
      <c r="A1363" s="1" t="s">
        <v>149</v>
      </c>
      <c r="B1363" s="1" t="s">
        <v>5</v>
      </c>
      <c r="C1363" s="1">
        <v>0</v>
      </c>
      <c r="D1363" s="1">
        <v>2</v>
      </c>
      <c r="E1363" s="3">
        <v>0</v>
      </c>
      <c r="F1363" s="90">
        <v>0</v>
      </c>
    </row>
    <row r="1364" spans="1:6" x14ac:dyDescent="0.3">
      <c r="A1364" s="1" t="s">
        <v>149</v>
      </c>
      <c r="B1364" s="1" t="s">
        <v>5</v>
      </c>
      <c r="C1364" s="1">
        <v>11</v>
      </c>
      <c r="D1364" s="1">
        <v>181</v>
      </c>
      <c r="E1364" s="3">
        <v>543</v>
      </c>
      <c r="F1364" s="90">
        <v>3</v>
      </c>
    </row>
    <row r="1365" spans="1:6" x14ac:dyDescent="0.3">
      <c r="A1365" s="1" t="s">
        <v>149</v>
      </c>
      <c r="B1365" s="1" t="s">
        <v>5</v>
      </c>
      <c r="C1365" s="1">
        <v>12</v>
      </c>
      <c r="D1365" s="1">
        <v>375</v>
      </c>
      <c r="E1365" s="3">
        <v>1875</v>
      </c>
      <c r="F1365" s="90">
        <v>5</v>
      </c>
    </row>
    <row r="1366" spans="1:6" x14ac:dyDescent="0.3">
      <c r="A1366" s="1" t="s">
        <v>149</v>
      </c>
      <c r="B1366" s="1" t="s">
        <v>5</v>
      </c>
      <c r="C1366" s="1">
        <v>15</v>
      </c>
      <c r="D1366" s="1">
        <v>3</v>
      </c>
      <c r="E1366" s="3">
        <v>9.6</v>
      </c>
      <c r="F1366" s="90">
        <v>3.2</v>
      </c>
    </row>
  </sheetData>
  <mergeCells count="1">
    <mergeCell ref="J13:P13"/>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AA041-60A6-45D3-B898-55D4F5840490}">
  <dimension ref="A1:Q1306"/>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ColWidth="9.1796875" defaultRowHeight="13" x14ac:dyDescent="0.3"/>
  <cols>
    <col min="1" max="1" width="10.26953125" style="1" customWidth="1"/>
    <col min="2" max="2" width="10" style="1" customWidth="1"/>
    <col min="3" max="3" width="9.81640625" style="1" customWidth="1"/>
    <col min="4" max="27" width="12.1796875" style="1" customWidth="1"/>
    <col min="28" max="16384" width="9.1796875" style="1"/>
  </cols>
  <sheetData>
    <row r="1" spans="1:16" s="4" customFormat="1" ht="26" x14ac:dyDescent="0.3">
      <c r="A1" s="4" t="s">
        <v>0</v>
      </c>
      <c r="B1" s="4" t="s">
        <v>178</v>
      </c>
      <c r="C1" s="4" t="s">
        <v>179</v>
      </c>
      <c r="D1" s="4" t="s">
        <v>180</v>
      </c>
      <c r="E1" s="4" t="s">
        <v>181</v>
      </c>
      <c r="F1" s="4" t="s">
        <v>182</v>
      </c>
      <c r="G1" s="1" t="s">
        <v>694</v>
      </c>
      <c r="I1" s="4" t="s">
        <v>689</v>
      </c>
    </row>
    <row r="2" spans="1:16" x14ac:dyDescent="0.3">
      <c r="A2" s="1" t="s">
        <v>4</v>
      </c>
      <c r="B2" s="1" t="s">
        <v>184</v>
      </c>
      <c r="C2" s="1">
        <v>0</v>
      </c>
      <c r="D2" s="1">
        <v>1</v>
      </c>
      <c r="E2" s="1">
        <v>0</v>
      </c>
      <c r="F2" s="90">
        <v>0</v>
      </c>
    </row>
    <row r="3" spans="1:16" x14ac:dyDescent="0.3">
      <c r="A3" s="1" t="s">
        <v>4</v>
      </c>
      <c r="B3" s="1" t="s">
        <v>183</v>
      </c>
      <c r="C3" s="1">
        <v>0</v>
      </c>
      <c r="D3" s="1">
        <v>3</v>
      </c>
      <c r="E3" s="1">
        <v>0</v>
      </c>
      <c r="F3" s="90">
        <v>0</v>
      </c>
    </row>
    <row r="4" spans="1:16" x14ac:dyDescent="0.3">
      <c r="A4" s="1" t="s">
        <v>4</v>
      </c>
      <c r="B4" s="1" t="s">
        <v>5</v>
      </c>
      <c r="C4" s="1">
        <v>0</v>
      </c>
      <c r="D4" s="1">
        <v>4</v>
      </c>
      <c r="E4" s="1">
        <v>0</v>
      </c>
      <c r="F4" s="90">
        <v>0</v>
      </c>
      <c r="H4" s="19" t="str">
        <f>'bron VAS2022'!H4</f>
        <v>toelichting bij kolom Adviesofprocedure</v>
      </c>
    </row>
    <row r="5" spans="1:16" x14ac:dyDescent="0.3">
      <c r="A5" s="1" t="s">
        <v>4</v>
      </c>
      <c r="B5" s="1" t="s">
        <v>5</v>
      </c>
      <c r="C5" s="1">
        <v>98</v>
      </c>
      <c r="D5" s="1">
        <v>3</v>
      </c>
      <c r="E5" s="1">
        <v>29</v>
      </c>
      <c r="F5" s="90">
        <v>9.6666666666666696</v>
      </c>
      <c r="H5" s="1" t="str">
        <f>'bron VAS2022'!H5</f>
        <v>av4: adviestoevoeging kort (&lt;7 uur)</v>
      </c>
    </row>
    <row r="6" spans="1:16" x14ac:dyDescent="0.3">
      <c r="A6" s="1" t="s">
        <v>6</v>
      </c>
      <c r="B6" s="1" t="s">
        <v>159</v>
      </c>
      <c r="C6" s="1">
        <v>42</v>
      </c>
      <c r="D6" s="1">
        <v>12</v>
      </c>
      <c r="E6" s="1">
        <v>24</v>
      </c>
      <c r="F6" s="90">
        <v>2</v>
      </c>
      <c r="H6" s="1" t="str">
        <f>'bron VAS2022'!H6</f>
        <v>av8: adviestoevoeging kort (&gt;= 7 uur)</v>
      </c>
    </row>
    <row r="7" spans="1:16" x14ac:dyDescent="0.3">
      <c r="A7" s="1" t="s">
        <v>6</v>
      </c>
      <c r="B7" s="1" t="s">
        <v>5</v>
      </c>
      <c r="C7" s="1">
        <v>0</v>
      </c>
      <c r="D7" s="1">
        <v>3</v>
      </c>
      <c r="E7" s="1">
        <v>0</v>
      </c>
      <c r="F7" s="90">
        <v>0</v>
      </c>
      <c r="H7" s="1" t="str">
        <f>'bron VAS2022'!H7</f>
        <v>lat: lichte adviestoevoeging</v>
      </c>
    </row>
    <row r="8" spans="1:16" x14ac:dyDescent="0.3">
      <c r="A8" s="1" t="s">
        <v>6</v>
      </c>
      <c r="B8" s="1" t="s">
        <v>5</v>
      </c>
      <c r="C8" s="1">
        <v>98</v>
      </c>
      <c r="D8" s="1">
        <v>16</v>
      </c>
      <c r="E8" s="1">
        <v>124.2</v>
      </c>
      <c r="F8" s="90">
        <v>7.7625000000000002</v>
      </c>
      <c r="H8" s="1" t="str">
        <f>'bron VAS2022'!H8</f>
        <v>med: mediationtoevoeging</v>
      </c>
    </row>
    <row r="9" spans="1:16" x14ac:dyDescent="0.3">
      <c r="A9" s="1" t="s">
        <v>7</v>
      </c>
      <c r="B9" s="1" t="s">
        <v>184</v>
      </c>
      <c r="C9" s="1">
        <v>0</v>
      </c>
      <c r="D9" s="1">
        <v>2</v>
      </c>
      <c r="E9" s="1">
        <v>0</v>
      </c>
      <c r="F9" s="90">
        <v>0</v>
      </c>
      <c r="H9" s="1" t="str">
        <f>'bron VAS2022'!H9</f>
        <v>prc: proceduretoevoeging</v>
      </c>
    </row>
    <row r="10" spans="1:16" x14ac:dyDescent="0.3">
      <c r="A10" s="1" t="s">
        <v>7</v>
      </c>
      <c r="B10" s="1" t="s">
        <v>184</v>
      </c>
      <c r="C10" s="1">
        <v>21</v>
      </c>
      <c r="D10" s="1">
        <v>22</v>
      </c>
      <c r="E10" s="1">
        <v>88</v>
      </c>
      <c r="F10" s="90">
        <v>4</v>
      </c>
    </row>
    <row r="11" spans="1:16" x14ac:dyDescent="0.3">
      <c r="A11" s="1" t="s">
        <v>7</v>
      </c>
      <c r="B11" s="1" t="s">
        <v>184</v>
      </c>
      <c r="C11" s="1">
        <v>22</v>
      </c>
      <c r="D11" s="1">
        <v>156</v>
      </c>
      <c r="E11" s="1">
        <v>624</v>
      </c>
      <c r="F11" s="90">
        <v>4</v>
      </c>
    </row>
    <row r="12" spans="1:16" ht="13.5" thickBot="1" x14ac:dyDescent="0.35">
      <c r="A12" s="1" t="s">
        <v>7</v>
      </c>
      <c r="B12" s="1" t="s">
        <v>183</v>
      </c>
      <c r="C12" s="1">
        <v>0</v>
      </c>
      <c r="D12" s="1">
        <v>2</v>
      </c>
      <c r="E12" s="1">
        <v>0</v>
      </c>
      <c r="F12" s="90">
        <v>0</v>
      </c>
      <c r="H12" s="19" t="str">
        <f>'bron VAS2022'!H12</f>
        <v>toelichting codes bij kolom code_punten_forfait</v>
      </c>
    </row>
    <row r="13" spans="1:16" x14ac:dyDescent="0.3">
      <c r="A13" s="1" t="s">
        <v>7</v>
      </c>
      <c r="B13" s="1" t="s">
        <v>183</v>
      </c>
      <c r="C13" s="1">
        <v>31</v>
      </c>
      <c r="D13" s="1">
        <v>61</v>
      </c>
      <c r="E13" s="1">
        <v>488</v>
      </c>
      <c r="F13" s="90">
        <v>8</v>
      </c>
      <c r="H13" s="6"/>
      <c r="I13" s="7"/>
      <c r="J13" s="392" t="s">
        <v>152</v>
      </c>
      <c r="K13" s="392"/>
      <c r="L13" s="392"/>
      <c r="M13" s="392"/>
      <c r="N13" s="392"/>
      <c r="O13" s="392"/>
      <c r="P13" s="393"/>
    </row>
    <row r="14" spans="1:16" ht="26" x14ac:dyDescent="0.3">
      <c r="A14" s="1" t="s">
        <v>7</v>
      </c>
      <c r="B14" s="1" t="s">
        <v>183</v>
      </c>
      <c r="C14" s="1">
        <v>32</v>
      </c>
      <c r="D14" s="1">
        <v>812</v>
      </c>
      <c r="E14" s="1">
        <v>8120</v>
      </c>
      <c r="F14" s="90">
        <v>10</v>
      </c>
      <c r="H14" s="8" t="s">
        <v>153</v>
      </c>
      <c r="I14" s="5" t="s">
        <v>154</v>
      </c>
      <c r="J14" s="113" t="s">
        <v>155</v>
      </c>
      <c r="K14" s="113" t="s">
        <v>156</v>
      </c>
      <c r="L14" s="113" t="s">
        <v>157</v>
      </c>
      <c r="M14" s="113" t="s">
        <v>158</v>
      </c>
      <c r="N14" s="113" t="s">
        <v>159</v>
      </c>
      <c r="O14" s="113" t="s">
        <v>449</v>
      </c>
      <c r="P14" s="114" t="s">
        <v>161</v>
      </c>
    </row>
    <row r="15" spans="1:16" x14ac:dyDescent="0.3">
      <c r="A15" s="1" t="s">
        <v>7</v>
      </c>
      <c r="B15" s="1" t="s">
        <v>159</v>
      </c>
      <c r="C15" s="1">
        <v>41</v>
      </c>
      <c r="D15" s="1">
        <v>2</v>
      </c>
      <c r="E15" s="1">
        <v>4</v>
      </c>
      <c r="F15" s="90">
        <v>2</v>
      </c>
      <c r="H15" s="10" t="s">
        <v>162</v>
      </c>
      <c r="I15" s="14" t="s">
        <v>163</v>
      </c>
      <c r="J15" s="17">
        <v>0</v>
      </c>
      <c r="K15" s="17">
        <v>10</v>
      </c>
      <c r="L15" s="17">
        <v>20</v>
      </c>
      <c r="M15" s="17">
        <v>30</v>
      </c>
      <c r="N15" s="17">
        <v>40</v>
      </c>
      <c r="O15" s="17"/>
      <c r="P15" s="12"/>
    </row>
    <row r="16" spans="1:16" x14ac:dyDescent="0.3">
      <c r="A16" s="1" t="s">
        <v>7</v>
      </c>
      <c r="B16" s="1" t="s">
        <v>159</v>
      </c>
      <c r="C16" s="1">
        <v>42</v>
      </c>
      <c r="D16" s="1">
        <v>42</v>
      </c>
      <c r="E16" s="1">
        <v>84</v>
      </c>
      <c r="F16" s="90">
        <v>2</v>
      </c>
      <c r="H16" s="10" t="s">
        <v>164</v>
      </c>
      <c r="I16" s="14" t="s">
        <v>165</v>
      </c>
      <c r="J16" s="17"/>
      <c r="K16" s="17">
        <v>11</v>
      </c>
      <c r="L16" s="17">
        <v>21</v>
      </c>
      <c r="M16" s="17">
        <v>31</v>
      </c>
      <c r="N16" s="17">
        <v>41</v>
      </c>
      <c r="O16" s="17"/>
      <c r="P16" s="12"/>
    </row>
    <row r="17" spans="1:17" x14ac:dyDescent="0.3">
      <c r="A17" s="1" t="s">
        <v>7</v>
      </c>
      <c r="B17" s="1" t="s">
        <v>5</v>
      </c>
      <c r="C17" s="1">
        <v>0</v>
      </c>
      <c r="D17" s="1">
        <v>7</v>
      </c>
      <c r="E17" s="1">
        <v>0</v>
      </c>
      <c r="F17" s="90">
        <v>0</v>
      </c>
      <c r="H17" s="10" t="s">
        <v>166</v>
      </c>
      <c r="I17" s="14" t="s">
        <v>165</v>
      </c>
      <c r="J17" s="17"/>
      <c r="K17" s="17">
        <v>12</v>
      </c>
      <c r="L17" s="17">
        <v>22</v>
      </c>
      <c r="M17" s="17">
        <v>32</v>
      </c>
      <c r="N17" s="17">
        <v>42</v>
      </c>
      <c r="O17" s="17"/>
      <c r="P17" s="12"/>
    </row>
    <row r="18" spans="1:17" x14ac:dyDescent="0.3">
      <c r="A18" s="1" t="s">
        <v>7</v>
      </c>
      <c r="B18" s="1" t="s">
        <v>5</v>
      </c>
      <c r="C18" s="1">
        <v>10</v>
      </c>
      <c r="D18" s="1">
        <v>1</v>
      </c>
      <c r="E18" s="1">
        <v>0</v>
      </c>
      <c r="F18" s="90">
        <v>0</v>
      </c>
      <c r="H18" s="10" t="s">
        <v>164</v>
      </c>
      <c r="I18" s="14" t="s">
        <v>167</v>
      </c>
      <c r="J18" s="17"/>
      <c r="K18" s="17">
        <v>13</v>
      </c>
      <c r="L18" s="17">
        <v>23</v>
      </c>
      <c r="M18" s="17">
        <v>33</v>
      </c>
      <c r="N18" s="17">
        <v>43</v>
      </c>
      <c r="O18" s="17"/>
      <c r="P18" s="12"/>
    </row>
    <row r="19" spans="1:17" x14ac:dyDescent="0.3">
      <c r="A19" s="1" t="s">
        <v>7</v>
      </c>
      <c r="B19" s="1" t="s">
        <v>5</v>
      </c>
      <c r="C19" s="1">
        <v>11</v>
      </c>
      <c r="D19" s="1">
        <v>28</v>
      </c>
      <c r="E19" s="1">
        <v>308</v>
      </c>
      <c r="F19" s="90">
        <v>11</v>
      </c>
      <c r="H19" s="10" t="s">
        <v>164</v>
      </c>
      <c r="I19" s="14" t="s">
        <v>168</v>
      </c>
      <c r="J19" s="17"/>
      <c r="K19" s="17">
        <v>14</v>
      </c>
      <c r="L19" s="17">
        <v>24</v>
      </c>
      <c r="M19" s="17">
        <v>34</v>
      </c>
      <c r="N19" s="17">
        <v>44</v>
      </c>
      <c r="O19" s="17"/>
      <c r="P19" s="12"/>
    </row>
    <row r="20" spans="1:17" x14ac:dyDescent="0.3">
      <c r="A20" s="1" t="s">
        <v>7</v>
      </c>
      <c r="B20" s="1" t="s">
        <v>5</v>
      </c>
      <c r="C20" s="1">
        <v>12</v>
      </c>
      <c r="D20" s="1">
        <v>354</v>
      </c>
      <c r="E20" s="1">
        <v>6726</v>
      </c>
      <c r="F20" s="90">
        <v>19</v>
      </c>
      <c r="H20" s="10" t="s">
        <v>166</v>
      </c>
      <c r="I20" s="14" t="s">
        <v>167</v>
      </c>
      <c r="J20" s="17"/>
      <c r="K20" s="17">
        <v>15</v>
      </c>
      <c r="L20" s="17">
        <v>25</v>
      </c>
      <c r="M20" s="17">
        <v>35</v>
      </c>
      <c r="N20" s="17">
        <v>45</v>
      </c>
      <c r="O20" s="17"/>
      <c r="P20" s="12"/>
    </row>
    <row r="21" spans="1:17" x14ac:dyDescent="0.3">
      <c r="A21" s="1" t="s">
        <v>7</v>
      </c>
      <c r="B21" s="1" t="s">
        <v>5</v>
      </c>
      <c r="C21" s="1">
        <v>14</v>
      </c>
      <c r="D21" s="1">
        <v>1</v>
      </c>
      <c r="E21" s="1">
        <v>45</v>
      </c>
      <c r="F21" s="90">
        <v>45</v>
      </c>
      <c r="H21" s="10" t="s">
        <v>166</v>
      </c>
      <c r="I21" s="14" t="s">
        <v>168</v>
      </c>
      <c r="J21" s="17"/>
      <c r="K21" s="17">
        <v>16</v>
      </c>
      <c r="L21" s="17">
        <v>26</v>
      </c>
      <c r="M21" s="17">
        <v>36</v>
      </c>
      <c r="N21" s="17">
        <v>46</v>
      </c>
      <c r="O21" s="17"/>
      <c r="P21" s="12"/>
    </row>
    <row r="22" spans="1:17" ht="13.5" thickBot="1" x14ac:dyDescent="0.35">
      <c r="A22" s="1" t="s">
        <v>7</v>
      </c>
      <c r="B22" s="1" t="s">
        <v>5</v>
      </c>
      <c r="C22" s="1">
        <v>15</v>
      </c>
      <c r="D22" s="1">
        <v>33</v>
      </c>
      <c r="E22" s="1">
        <v>281</v>
      </c>
      <c r="F22" s="90">
        <v>8.5151515151515191</v>
      </c>
      <c r="H22" s="11" t="s">
        <v>162</v>
      </c>
      <c r="I22" s="15" t="s">
        <v>161</v>
      </c>
      <c r="J22" s="18"/>
      <c r="K22" s="18"/>
      <c r="L22" s="18"/>
      <c r="M22" s="18"/>
      <c r="N22" s="18"/>
      <c r="O22" s="18">
        <v>50</v>
      </c>
      <c r="P22" s="13">
        <v>98</v>
      </c>
      <c r="Q22" s="20" t="s">
        <v>169</v>
      </c>
    </row>
    <row r="23" spans="1:17" x14ac:dyDescent="0.3">
      <c r="A23" s="1" t="s">
        <v>8</v>
      </c>
      <c r="B23" s="1" t="s">
        <v>184</v>
      </c>
      <c r="C23" s="1">
        <v>0</v>
      </c>
      <c r="D23" s="1">
        <v>3</v>
      </c>
      <c r="E23" s="1">
        <v>0</v>
      </c>
      <c r="F23" s="90">
        <v>0</v>
      </c>
    </row>
    <row r="24" spans="1:17" x14ac:dyDescent="0.3">
      <c r="A24" s="1" t="s">
        <v>8</v>
      </c>
      <c r="B24" s="1" t="s">
        <v>184</v>
      </c>
      <c r="C24" s="1">
        <v>21</v>
      </c>
      <c r="D24" s="1">
        <v>4</v>
      </c>
      <c r="E24" s="1">
        <v>16</v>
      </c>
      <c r="F24" s="90">
        <v>4</v>
      </c>
    </row>
    <row r="25" spans="1:17" x14ac:dyDescent="0.3">
      <c r="A25" s="1" t="s">
        <v>8</v>
      </c>
      <c r="B25" s="1" t="s">
        <v>184</v>
      </c>
      <c r="C25" s="1">
        <v>22</v>
      </c>
      <c r="D25" s="1">
        <v>31</v>
      </c>
      <c r="E25" s="1">
        <v>124</v>
      </c>
      <c r="F25" s="90">
        <v>4</v>
      </c>
    </row>
    <row r="26" spans="1:17" x14ac:dyDescent="0.3">
      <c r="A26" s="1" t="s">
        <v>8</v>
      </c>
      <c r="B26" s="1" t="s">
        <v>183</v>
      </c>
      <c r="C26" s="1">
        <v>31</v>
      </c>
      <c r="D26" s="1">
        <v>6</v>
      </c>
      <c r="E26" s="1">
        <v>48</v>
      </c>
      <c r="F26" s="90">
        <v>8</v>
      </c>
    </row>
    <row r="27" spans="1:17" x14ac:dyDescent="0.3">
      <c r="A27" s="1" t="s">
        <v>8</v>
      </c>
      <c r="B27" s="1" t="s">
        <v>183</v>
      </c>
      <c r="C27" s="1">
        <v>32</v>
      </c>
      <c r="D27" s="1">
        <v>148</v>
      </c>
      <c r="E27" s="1">
        <v>1480</v>
      </c>
      <c r="F27" s="90">
        <v>10</v>
      </c>
    </row>
    <row r="28" spans="1:17" x14ac:dyDescent="0.3">
      <c r="A28" s="1" t="s">
        <v>8</v>
      </c>
      <c r="B28" s="1" t="s">
        <v>183</v>
      </c>
      <c r="C28" s="1">
        <v>35</v>
      </c>
      <c r="D28" s="1">
        <v>4</v>
      </c>
      <c r="E28" s="1">
        <v>30</v>
      </c>
      <c r="F28" s="90">
        <v>7.5</v>
      </c>
    </row>
    <row r="29" spans="1:17" x14ac:dyDescent="0.3">
      <c r="A29" s="1" t="s">
        <v>8</v>
      </c>
      <c r="B29" s="1" t="s">
        <v>159</v>
      </c>
      <c r="C29" s="1">
        <v>42</v>
      </c>
      <c r="D29" s="1">
        <v>4</v>
      </c>
      <c r="E29" s="1">
        <v>8</v>
      </c>
      <c r="F29" s="90">
        <v>2</v>
      </c>
    </row>
    <row r="30" spans="1:17" x14ac:dyDescent="0.3">
      <c r="A30" s="1" t="s">
        <v>8</v>
      </c>
      <c r="B30" s="1" t="s">
        <v>5</v>
      </c>
      <c r="C30" s="1">
        <v>0</v>
      </c>
      <c r="D30" s="1">
        <v>4</v>
      </c>
      <c r="E30" s="1">
        <v>0</v>
      </c>
      <c r="F30" s="90">
        <v>0</v>
      </c>
    </row>
    <row r="31" spans="1:17" x14ac:dyDescent="0.3">
      <c r="A31" s="1" t="s">
        <v>8</v>
      </c>
      <c r="B31" s="1" t="s">
        <v>5</v>
      </c>
      <c r="C31" s="1">
        <v>11</v>
      </c>
      <c r="D31" s="1">
        <v>4</v>
      </c>
      <c r="E31" s="1">
        <v>44</v>
      </c>
      <c r="F31" s="90">
        <v>11</v>
      </c>
    </row>
    <row r="32" spans="1:17" x14ac:dyDescent="0.3">
      <c r="A32" s="1" t="s">
        <v>8</v>
      </c>
      <c r="B32" s="1" t="s">
        <v>5</v>
      </c>
      <c r="C32" s="1">
        <v>12</v>
      </c>
      <c r="D32" s="1">
        <v>62</v>
      </c>
      <c r="E32" s="1">
        <v>1426</v>
      </c>
      <c r="F32" s="90">
        <v>23</v>
      </c>
    </row>
    <row r="33" spans="1:6" x14ac:dyDescent="0.3">
      <c r="A33" s="1" t="s">
        <v>8</v>
      </c>
      <c r="B33" s="1" t="s">
        <v>5</v>
      </c>
      <c r="C33" s="1">
        <v>15</v>
      </c>
      <c r="D33" s="1">
        <v>2</v>
      </c>
      <c r="E33" s="1">
        <v>21.5</v>
      </c>
      <c r="F33" s="90">
        <v>10.75</v>
      </c>
    </row>
    <row r="34" spans="1:6" x14ac:dyDescent="0.3">
      <c r="A34" s="1" t="s">
        <v>9</v>
      </c>
      <c r="B34" s="1" t="s">
        <v>184</v>
      </c>
      <c r="C34" s="1">
        <v>0</v>
      </c>
      <c r="D34" s="1">
        <v>1</v>
      </c>
      <c r="E34" s="1">
        <v>0</v>
      </c>
      <c r="F34" s="90">
        <v>0</v>
      </c>
    </row>
    <row r="35" spans="1:6" x14ac:dyDescent="0.3">
      <c r="A35" s="1" t="s">
        <v>9</v>
      </c>
      <c r="B35" s="1" t="s">
        <v>184</v>
      </c>
      <c r="C35" s="1">
        <v>21</v>
      </c>
      <c r="D35" s="1">
        <v>4</v>
      </c>
      <c r="E35" s="1">
        <v>16</v>
      </c>
      <c r="F35" s="90">
        <v>4</v>
      </c>
    </row>
    <row r="36" spans="1:6" x14ac:dyDescent="0.3">
      <c r="A36" s="1" t="s">
        <v>9</v>
      </c>
      <c r="B36" s="1" t="s">
        <v>184</v>
      </c>
      <c r="C36" s="1">
        <v>22</v>
      </c>
      <c r="D36" s="1">
        <v>6</v>
      </c>
      <c r="E36" s="1">
        <v>24</v>
      </c>
      <c r="F36" s="90">
        <v>4</v>
      </c>
    </row>
    <row r="37" spans="1:6" x14ac:dyDescent="0.3">
      <c r="A37" s="1" t="s">
        <v>9</v>
      </c>
      <c r="B37" s="1" t="s">
        <v>183</v>
      </c>
      <c r="C37" s="1">
        <v>31</v>
      </c>
      <c r="D37" s="1">
        <v>3</v>
      </c>
      <c r="E37" s="1">
        <v>24</v>
      </c>
      <c r="F37" s="90">
        <v>8</v>
      </c>
    </row>
    <row r="38" spans="1:6" x14ac:dyDescent="0.3">
      <c r="A38" s="1" t="s">
        <v>9</v>
      </c>
      <c r="B38" s="1" t="s">
        <v>183</v>
      </c>
      <c r="C38" s="1">
        <v>32</v>
      </c>
      <c r="D38" s="1">
        <v>20</v>
      </c>
      <c r="E38" s="1">
        <v>200</v>
      </c>
      <c r="F38" s="90">
        <v>10</v>
      </c>
    </row>
    <row r="39" spans="1:6" x14ac:dyDescent="0.3">
      <c r="A39" s="1" t="s">
        <v>9</v>
      </c>
      <c r="B39" s="1" t="s">
        <v>159</v>
      </c>
      <c r="C39" s="1">
        <v>41</v>
      </c>
      <c r="D39" s="1">
        <v>1</v>
      </c>
      <c r="E39" s="1">
        <v>2</v>
      </c>
      <c r="F39" s="90">
        <v>2</v>
      </c>
    </row>
    <row r="40" spans="1:6" x14ac:dyDescent="0.3">
      <c r="A40" s="1" t="s">
        <v>9</v>
      </c>
      <c r="B40" s="1" t="s">
        <v>159</v>
      </c>
      <c r="C40" s="1">
        <v>42</v>
      </c>
      <c r="D40" s="1">
        <v>1</v>
      </c>
      <c r="E40" s="1">
        <v>2</v>
      </c>
      <c r="F40" s="90">
        <v>2</v>
      </c>
    </row>
    <row r="41" spans="1:6" x14ac:dyDescent="0.3">
      <c r="A41" s="1" t="s">
        <v>9</v>
      </c>
      <c r="B41" s="1" t="s">
        <v>5</v>
      </c>
      <c r="C41" s="1">
        <v>10</v>
      </c>
      <c r="D41" s="1">
        <v>1</v>
      </c>
      <c r="E41" s="1">
        <v>0</v>
      </c>
      <c r="F41" s="90">
        <v>0</v>
      </c>
    </row>
    <row r="42" spans="1:6" x14ac:dyDescent="0.3">
      <c r="A42" s="1" t="s">
        <v>9</v>
      </c>
      <c r="B42" s="1" t="s">
        <v>5</v>
      </c>
      <c r="C42" s="1">
        <v>11</v>
      </c>
      <c r="D42" s="1">
        <v>5</v>
      </c>
      <c r="E42" s="1">
        <v>35</v>
      </c>
      <c r="F42" s="90">
        <v>7</v>
      </c>
    </row>
    <row r="43" spans="1:6" x14ac:dyDescent="0.3">
      <c r="A43" s="1" t="s">
        <v>9</v>
      </c>
      <c r="B43" s="1" t="s">
        <v>5</v>
      </c>
      <c r="C43" s="1">
        <v>12</v>
      </c>
      <c r="D43" s="1">
        <v>49</v>
      </c>
      <c r="E43" s="1">
        <v>539</v>
      </c>
      <c r="F43" s="90">
        <v>11</v>
      </c>
    </row>
    <row r="44" spans="1:6" x14ac:dyDescent="0.3">
      <c r="A44" s="1" t="s">
        <v>9</v>
      </c>
      <c r="B44" s="1" t="s">
        <v>5</v>
      </c>
      <c r="C44" s="1">
        <v>15</v>
      </c>
      <c r="D44" s="1">
        <v>1</v>
      </c>
      <c r="E44" s="1">
        <v>10</v>
      </c>
      <c r="F44" s="90">
        <v>10</v>
      </c>
    </row>
    <row r="45" spans="1:6" x14ac:dyDescent="0.3">
      <c r="A45" s="1" t="s">
        <v>9</v>
      </c>
      <c r="B45" s="1" t="s">
        <v>5</v>
      </c>
      <c r="C45" s="1">
        <v>16</v>
      </c>
      <c r="D45" s="1">
        <v>1</v>
      </c>
      <c r="E45" s="1">
        <v>12.7</v>
      </c>
      <c r="F45" s="90">
        <v>12.7</v>
      </c>
    </row>
    <row r="46" spans="1:6" x14ac:dyDescent="0.3">
      <c r="A46" s="1" t="s">
        <v>10</v>
      </c>
      <c r="B46" s="1" t="s">
        <v>184</v>
      </c>
      <c r="C46" s="1">
        <v>0</v>
      </c>
      <c r="D46" s="1">
        <v>6</v>
      </c>
      <c r="E46" s="1">
        <v>0</v>
      </c>
      <c r="F46" s="90">
        <v>0</v>
      </c>
    </row>
    <row r="47" spans="1:6" x14ac:dyDescent="0.3">
      <c r="A47" s="1" t="s">
        <v>10</v>
      </c>
      <c r="B47" s="1" t="s">
        <v>184</v>
      </c>
      <c r="C47" s="1">
        <v>21</v>
      </c>
      <c r="D47" s="1">
        <v>34</v>
      </c>
      <c r="E47" s="1">
        <v>136</v>
      </c>
      <c r="F47" s="90">
        <v>4</v>
      </c>
    </row>
    <row r="48" spans="1:6" x14ac:dyDescent="0.3">
      <c r="A48" s="1" t="s">
        <v>10</v>
      </c>
      <c r="B48" s="1" t="s">
        <v>184</v>
      </c>
      <c r="C48" s="1">
        <v>22</v>
      </c>
      <c r="D48" s="1">
        <v>178</v>
      </c>
      <c r="E48" s="1">
        <v>712</v>
      </c>
      <c r="F48" s="90">
        <v>4</v>
      </c>
    </row>
    <row r="49" spans="1:6" x14ac:dyDescent="0.3">
      <c r="A49" s="1" t="s">
        <v>10</v>
      </c>
      <c r="B49" s="1" t="s">
        <v>184</v>
      </c>
      <c r="C49" s="1">
        <v>25</v>
      </c>
      <c r="D49" s="1">
        <v>2</v>
      </c>
      <c r="E49" s="1">
        <v>6</v>
      </c>
      <c r="F49" s="90">
        <v>3</v>
      </c>
    </row>
    <row r="50" spans="1:6" x14ac:dyDescent="0.3">
      <c r="A50" s="1" t="s">
        <v>10</v>
      </c>
      <c r="B50" s="1" t="s">
        <v>183</v>
      </c>
      <c r="C50" s="1">
        <v>0</v>
      </c>
      <c r="D50" s="1">
        <v>1</v>
      </c>
      <c r="E50" s="1">
        <v>0</v>
      </c>
      <c r="F50" s="90">
        <v>0</v>
      </c>
    </row>
    <row r="51" spans="1:6" x14ac:dyDescent="0.3">
      <c r="A51" s="1" t="s">
        <v>10</v>
      </c>
      <c r="B51" s="1" t="s">
        <v>183</v>
      </c>
      <c r="C51" s="1">
        <v>31</v>
      </c>
      <c r="D51" s="1">
        <v>64</v>
      </c>
      <c r="E51" s="1">
        <v>512</v>
      </c>
      <c r="F51" s="90">
        <v>8</v>
      </c>
    </row>
    <row r="52" spans="1:6" x14ac:dyDescent="0.3">
      <c r="A52" s="1" t="s">
        <v>10</v>
      </c>
      <c r="B52" s="1" t="s">
        <v>183</v>
      </c>
      <c r="C52" s="1">
        <v>32</v>
      </c>
      <c r="D52" s="1">
        <v>812</v>
      </c>
      <c r="E52" s="1">
        <v>8120</v>
      </c>
      <c r="F52" s="90">
        <v>10</v>
      </c>
    </row>
    <row r="53" spans="1:6" x14ac:dyDescent="0.3">
      <c r="A53" s="1" t="s">
        <v>10</v>
      </c>
      <c r="B53" s="1" t="s">
        <v>183</v>
      </c>
      <c r="C53" s="1">
        <v>36</v>
      </c>
      <c r="D53" s="1">
        <v>1</v>
      </c>
      <c r="E53" s="1">
        <v>15</v>
      </c>
      <c r="F53" s="90">
        <v>15</v>
      </c>
    </row>
    <row r="54" spans="1:6" x14ac:dyDescent="0.3">
      <c r="A54" s="1" t="s">
        <v>10</v>
      </c>
      <c r="B54" s="1" t="s">
        <v>159</v>
      </c>
      <c r="C54" s="1">
        <v>42</v>
      </c>
      <c r="D54" s="1">
        <v>49</v>
      </c>
      <c r="E54" s="1">
        <v>98</v>
      </c>
      <c r="F54" s="90">
        <v>2</v>
      </c>
    </row>
    <row r="55" spans="1:6" x14ac:dyDescent="0.3">
      <c r="A55" s="1" t="s">
        <v>10</v>
      </c>
      <c r="B55" s="1" t="s">
        <v>5</v>
      </c>
      <c r="C55" s="1">
        <v>0</v>
      </c>
      <c r="D55" s="1">
        <v>11</v>
      </c>
      <c r="E55" s="1">
        <v>0</v>
      </c>
      <c r="F55" s="90">
        <v>0</v>
      </c>
    </row>
    <row r="56" spans="1:6" x14ac:dyDescent="0.3">
      <c r="A56" s="1" t="s">
        <v>10</v>
      </c>
      <c r="B56" s="1" t="s">
        <v>5</v>
      </c>
      <c r="C56" s="1">
        <v>11</v>
      </c>
      <c r="D56" s="1">
        <v>11</v>
      </c>
      <c r="E56" s="1">
        <v>88</v>
      </c>
      <c r="F56" s="90">
        <v>8</v>
      </c>
    </row>
    <row r="57" spans="1:6" x14ac:dyDescent="0.3">
      <c r="A57" s="1" t="s">
        <v>10</v>
      </c>
      <c r="B57" s="1" t="s">
        <v>5</v>
      </c>
      <c r="C57" s="1">
        <v>12</v>
      </c>
      <c r="D57" s="1">
        <v>151</v>
      </c>
      <c r="E57" s="1">
        <v>2416</v>
      </c>
      <c r="F57" s="90">
        <v>16</v>
      </c>
    </row>
    <row r="58" spans="1:6" x14ac:dyDescent="0.3">
      <c r="A58" s="1" t="s">
        <v>10</v>
      </c>
      <c r="B58" s="1" t="s">
        <v>5</v>
      </c>
      <c r="C58" s="1">
        <v>15</v>
      </c>
      <c r="D58" s="1">
        <v>58</v>
      </c>
      <c r="E58" s="1">
        <v>473.8</v>
      </c>
      <c r="F58" s="90">
        <v>8.1689655172413804</v>
      </c>
    </row>
    <row r="59" spans="1:6" x14ac:dyDescent="0.3">
      <c r="A59" s="1" t="s">
        <v>10</v>
      </c>
      <c r="B59" s="1" t="s">
        <v>5</v>
      </c>
      <c r="C59" s="1">
        <v>16</v>
      </c>
      <c r="D59" s="1">
        <v>2</v>
      </c>
      <c r="E59" s="1">
        <v>49.5</v>
      </c>
      <c r="F59" s="90">
        <v>24.75</v>
      </c>
    </row>
    <row r="60" spans="1:6" x14ac:dyDescent="0.3">
      <c r="A60" s="1" t="s">
        <v>11</v>
      </c>
      <c r="B60" s="1" t="s">
        <v>184</v>
      </c>
      <c r="C60" s="1">
        <v>0</v>
      </c>
      <c r="D60" s="1">
        <v>6</v>
      </c>
      <c r="E60" s="1">
        <v>0</v>
      </c>
      <c r="F60" s="90">
        <v>0</v>
      </c>
    </row>
    <row r="61" spans="1:6" x14ac:dyDescent="0.3">
      <c r="A61" s="1" t="s">
        <v>11</v>
      </c>
      <c r="B61" s="1" t="s">
        <v>184</v>
      </c>
      <c r="C61" s="1">
        <v>21</v>
      </c>
      <c r="D61" s="1">
        <v>39</v>
      </c>
      <c r="E61" s="1">
        <v>156</v>
      </c>
      <c r="F61" s="90">
        <v>4</v>
      </c>
    </row>
    <row r="62" spans="1:6" x14ac:dyDescent="0.3">
      <c r="A62" s="1" t="s">
        <v>11</v>
      </c>
      <c r="B62" s="1" t="s">
        <v>184</v>
      </c>
      <c r="C62" s="1">
        <v>22</v>
      </c>
      <c r="D62" s="1">
        <v>243</v>
      </c>
      <c r="E62" s="1">
        <v>972</v>
      </c>
      <c r="F62" s="90">
        <v>4</v>
      </c>
    </row>
    <row r="63" spans="1:6" x14ac:dyDescent="0.3">
      <c r="A63" s="1" t="s">
        <v>11</v>
      </c>
      <c r="B63" s="1" t="s">
        <v>183</v>
      </c>
      <c r="C63" s="1">
        <v>0</v>
      </c>
      <c r="D63" s="1">
        <v>3</v>
      </c>
      <c r="E63" s="1">
        <v>0</v>
      </c>
      <c r="F63" s="90">
        <v>0</v>
      </c>
    </row>
    <row r="64" spans="1:6" x14ac:dyDescent="0.3">
      <c r="A64" s="1" t="s">
        <v>11</v>
      </c>
      <c r="B64" s="1" t="s">
        <v>183</v>
      </c>
      <c r="C64" s="1">
        <v>31</v>
      </c>
      <c r="D64" s="1">
        <v>181</v>
      </c>
      <c r="E64" s="1">
        <v>1448</v>
      </c>
      <c r="F64" s="90">
        <v>8</v>
      </c>
    </row>
    <row r="65" spans="1:6" x14ac:dyDescent="0.3">
      <c r="A65" s="1" t="s">
        <v>11</v>
      </c>
      <c r="B65" s="1" t="s">
        <v>183</v>
      </c>
      <c r="C65" s="1">
        <v>32</v>
      </c>
      <c r="D65" s="1">
        <v>978</v>
      </c>
      <c r="E65" s="1">
        <v>9780</v>
      </c>
      <c r="F65" s="90">
        <v>10</v>
      </c>
    </row>
    <row r="66" spans="1:6" x14ac:dyDescent="0.3">
      <c r="A66" s="1" t="s">
        <v>11</v>
      </c>
      <c r="B66" s="1" t="s">
        <v>183</v>
      </c>
      <c r="C66" s="1">
        <v>35</v>
      </c>
      <c r="D66" s="1">
        <v>2</v>
      </c>
      <c r="E66" s="1">
        <v>15</v>
      </c>
      <c r="F66" s="90">
        <v>7.5</v>
      </c>
    </row>
    <row r="67" spans="1:6" x14ac:dyDescent="0.3">
      <c r="A67" s="1" t="s">
        <v>11</v>
      </c>
      <c r="B67" s="1" t="s">
        <v>159</v>
      </c>
      <c r="C67" s="1">
        <v>41</v>
      </c>
      <c r="D67" s="1">
        <v>2</v>
      </c>
      <c r="E67" s="1">
        <v>4</v>
      </c>
      <c r="F67" s="90">
        <v>2</v>
      </c>
    </row>
    <row r="68" spans="1:6" x14ac:dyDescent="0.3">
      <c r="A68" s="1" t="s">
        <v>11</v>
      </c>
      <c r="B68" s="1" t="s">
        <v>159</v>
      </c>
      <c r="C68" s="1">
        <v>42</v>
      </c>
      <c r="D68" s="1">
        <v>113</v>
      </c>
      <c r="E68" s="1">
        <v>226</v>
      </c>
      <c r="F68" s="90">
        <v>2</v>
      </c>
    </row>
    <row r="69" spans="1:6" x14ac:dyDescent="0.3">
      <c r="A69" s="1" t="s">
        <v>11</v>
      </c>
      <c r="B69" s="1" t="s">
        <v>5</v>
      </c>
      <c r="C69" s="1">
        <v>0</v>
      </c>
      <c r="D69" s="1">
        <v>9</v>
      </c>
      <c r="E69" s="1">
        <v>0</v>
      </c>
      <c r="F69" s="90">
        <v>0</v>
      </c>
    </row>
    <row r="70" spans="1:6" x14ac:dyDescent="0.3">
      <c r="A70" s="1" t="s">
        <v>11</v>
      </c>
      <c r="B70" s="1" t="s">
        <v>5</v>
      </c>
      <c r="C70" s="1">
        <v>11</v>
      </c>
      <c r="D70" s="1">
        <v>32</v>
      </c>
      <c r="E70" s="1">
        <v>352</v>
      </c>
      <c r="F70" s="90">
        <v>11</v>
      </c>
    </row>
    <row r="71" spans="1:6" x14ac:dyDescent="0.3">
      <c r="A71" s="1" t="s">
        <v>11</v>
      </c>
      <c r="B71" s="1" t="s">
        <v>5</v>
      </c>
      <c r="C71" s="1">
        <v>12</v>
      </c>
      <c r="D71" s="1">
        <v>163</v>
      </c>
      <c r="E71" s="1">
        <v>3260</v>
      </c>
      <c r="F71" s="90">
        <v>20</v>
      </c>
    </row>
    <row r="72" spans="1:6" x14ac:dyDescent="0.3">
      <c r="A72" s="1" t="s">
        <v>11</v>
      </c>
      <c r="B72" s="1" t="s">
        <v>5</v>
      </c>
      <c r="C72" s="1">
        <v>14</v>
      </c>
      <c r="D72" s="1">
        <v>1</v>
      </c>
      <c r="E72" s="1">
        <v>15</v>
      </c>
      <c r="F72" s="90">
        <v>15</v>
      </c>
    </row>
    <row r="73" spans="1:6" x14ac:dyDescent="0.3">
      <c r="A73" s="1" t="s">
        <v>11</v>
      </c>
      <c r="B73" s="1" t="s">
        <v>5</v>
      </c>
      <c r="C73" s="1">
        <v>15</v>
      </c>
      <c r="D73" s="1">
        <v>35</v>
      </c>
      <c r="E73" s="1">
        <v>287.5</v>
      </c>
      <c r="F73" s="90">
        <v>8.21428571428571</v>
      </c>
    </row>
    <row r="74" spans="1:6" x14ac:dyDescent="0.3">
      <c r="A74" s="1" t="s">
        <v>11</v>
      </c>
      <c r="B74" s="1" t="s">
        <v>5</v>
      </c>
      <c r="C74" s="1">
        <v>16</v>
      </c>
      <c r="D74" s="1">
        <v>2</v>
      </c>
      <c r="E74" s="1">
        <v>54</v>
      </c>
      <c r="F74" s="90">
        <v>27</v>
      </c>
    </row>
    <row r="75" spans="1:6" x14ac:dyDescent="0.3">
      <c r="A75" s="1" t="s">
        <v>12</v>
      </c>
      <c r="B75" s="1" t="s">
        <v>184</v>
      </c>
      <c r="C75" s="1">
        <v>0</v>
      </c>
      <c r="D75" s="1">
        <v>11</v>
      </c>
      <c r="E75" s="1">
        <v>0</v>
      </c>
      <c r="F75" s="90">
        <v>0</v>
      </c>
    </row>
    <row r="76" spans="1:6" x14ac:dyDescent="0.3">
      <c r="A76" s="1" t="s">
        <v>12</v>
      </c>
      <c r="B76" s="1" t="s">
        <v>184</v>
      </c>
      <c r="C76" s="1">
        <v>21</v>
      </c>
      <c r="D76" s="1">
        <v>106</v>
      </c>
      <c r="E76" s="1">
        <v>424</v>
      </c>
      <c r="F76" s="90">
        <v>4</v>
      </c>
    </row>
    <row r="77" spans="1:6" x14ac:dyDescent="0.3">
      <c r="A77" s="1" t="s">
        <v>12</v>
      </c>
      <c r="B77" s="1" t="s">
        <v>184</v>
      </c>
      <c r="C77" s="1">
        <v>22</v>
      </c>
      <c r="D77" s="1">
        <v>407</v>
      </c>
      <c r="E77" s="1">
        <v>1628</v>
      </c>
      <c r="F77" s="90">
        <v>4</v>
      </c>
    </row>
    <row r="78" spans="1:6" x14ac:dyDescent="0.3">
      <c r="A78" s="1" t="s">
        <v>12</v>
      </c>
      <c r="B78" s="1" t="s">
        <v>184</v>
      </c>
      <c r="C78" s="1">
        <v>23</v>
      </c>
      <c r="D78" s="1">
        <v>2</v>
      </c>
      <c r="E78" s="1">
        <v>6</v>
      </c>
      <c r="F78" s="90">
        <v>3</v>
      </c>
    </row>
    <row r="79" spans="1:6" x14ac:dyDescent="0.3">
      <c r="A79" s="1" t="s">
        <v>12</v>
      </c>
      <c r="B79" s="1" t="s">
        <v>183</v>
      </c>
      <c r="C79" s="1">
        <v>0</v>
      </c>
      <c r="D79" s="1">
        <v>7</v>
      </c>
      <c r="E79" s="1">
        <v>0</v>
      </c>
      <c r="F79" s="90">
        <v>0</v>
      </c>
    </row>
    <row r="80" spans="1:6" x14ac:dyDescent="0.3">
      <c r="A80" s="1" t="s">
        <v>12</v>
      </c>
      <c r="B80" s="1" t="s">
        <v>183</v>
      </c>
      <c r="C80" s="1">
        <v>30</v>
      </c>
      <c r="D80" s="1">
        <v>2</v>
      </c>
      <c r="E80" s="1">
        <v>0</v>
      </c>
      <c r="F80" s="90">
        <v>0</v>
      </c>
    </row>
    <row r="81" spans="1:6" x14ac:dyDescent="0.3">
      <c r="A81" s="1" t="s">
        <v>12</v>
      </c>
      <c r="B81" s="1" t="s">
        <v>183</v>
      </c>
      <c r="C81" s="1">
        <v>31</v>
      </c>
      <c r="D81" s="1">
        <v>236</v>
      </c>
      <c r="E81" s="1">
        <v>1888</v>
      </c>
      <c r="F81" s="90">
        <v>8</v>
      </c>
    </row>
    <row r="82" spans="1:6" x14ac:dyDescent="0.3">
      <c r="A82" s="1" t="s">
        <v>12</v>
      </c>
      <c r="B82" s="1" t="s">
        <v>183</v>
      </c>
      <c r="C82" s="1">
        <v>32</v>
      </c>
      <c r="D82" s="1">
        <v>1506</v>
      </c>
      <c r="E82" s="1">
        <v>15060</v>
      </c>
      <c r="F82" s="90">
        <v>10</v>
      </c>
    </row>
    <row r="83" spans="1:6" x14ac:dyDescent="0.3">
      <c r="A83" s="1" t="s">
        <v>12</v>
      </c>
      <c r="B83" s="1" t="s">
        <v>183</v>
      </c>
      <c r="C83" s="1">
        <v>35</v>
      </c>
      <c r="D83" s="1">
        <v>2</v>
      </c>
      <c r="E83" s="1">
        <v>13</v>
      </c>
      <c r="F83" s="90">
        <v>6.5</v>
      </c>
    </row>
    <row r="84" spans="1:6" x14ac:dyDescent="0.3">
      <c r="A84" s="1" t="s">
        <v>12</v>
      </c>
      <c r="B84" s="1" t="s">
        <v>183</v>
      </c>
      <c r="C84" s="1">
        <v>36</v>
      </c>
      <c r="D84" s="1">
        <v>2</v>
      </c>
      <c r="E84" s="1">
        <v>32</v>
      </c>
      <c r="F84" s="90">
        <v>16</v>
      </c>
    </row>
    <row r="85" spans="1:6" x14ac:dyDescent="0.3">
      <c r="A85" s="1" t="s">
        <v>12</v>
      </c>
      <c r="B85" s="1" t="s">
        <v>159</v>
      </c>
      <c r="C85" s="1">
        <v>41</v>
      </c>
      <c r="D85" s="1">
        <v>3</v>
      </c>
      <c r="E85" s="1">
        <v>6</v>
      </c>
      <c r="F85" s="90">
        <v>2</v>
      </c>
    </row>
    <row r="86" spans="1:6" x14ac:dyDescent="0.3">
      <c r="A86" s="1" t="s">
        <v>12</v>
      </c>
      <c r="B86" s="1" t="s">
        <v>159</v>
      </c>
      <c r="C86" s="1">
        <v>42</v>
      </c>
      <c r="D86" s="1">
        <v>102</v>
      </c>
      <c r="E86" s="1">
        <v>204</v>
      </c>
      <c r="F86" s="90">
        <v>2</v>
      </c>
    </row>
    <row r="87" spans="1:6" x14ac:dyDescent="0.3">
      <c r="A87" s="1" t="s">
        <v>12</v>
      </c>
      <c r="B87" s="1" t="s">
        <v>5</v>
      </c>
      <c r="C87" s="1">
        <v>0</v>
      </c>
      <c r="D87" s="1">
        <v>12</v>
      </c>
      <c r="E87" s="1">
        <v>0</v>
      </c>
      <c r="F87" s="90">
        <v>0</v>
      </c>
    </row>
    <row r="88" spans="1:6" x14ac:dyDescent="0.3">
      <c r="A88" s="1" t="s">
        <v>12</v>
      </c>
      <c r="B88" s="1" t="s">
        <v>5</v>
      </c>
      <c r="C88" s="1">
        <v>10</v>
      </c>
      <c r="D88" s="1">
        <v>17</v>
      </c>
      <c r="E88" s="1">
        <v>0</v>
      </c>
      <c r="F88" s="90">
        <v>0</v>
      </c>
    </row>
    <row r="89" spans="1:6" x14ac:dyDescent="0.3">
      <c r="A89" s="1" t="s">
        <v>12</v>
      </c>
      <c r="B89" s="1" t="s">
        <v>5</v>
      </c>
      <c r="C89" s="1">
        <v>11</v>
      </c>
      <c r="D89" s="1">
        <v>125</v>
      </c>
      <c r="E89" s="1">
        <v>1375</v>
      </c>
      <c r="F89" s="90">
        <v>11</v>
      </c>
    </row>
    <row r="90" spans="1:6" x14ac:dyDescent="0.3">
      <c r="A90" s="1" t="s">
        <v>12</v>
      </c>
      <c r="B90" s="1" t="s">
        <v>5</v>
      </c>
      <c r="C90" s="1">
        <v>12</v>
      </c>
      <c r="D90" s="1">
        <v>588</v>
      </c>
      <c r="E90" s="1">
        <v>9996</v>
      </c>
      <c r="F90" s="90">
        <v>17</v>
      </c>
    </row>
    <row r="91" spans="1:6" x14ac:dyDescent="0.3">
      <c r="A91" s="1" t="s">
        <v>12</v>
      </c>
      <c r="B91" s="1" t="s">
        <v>5</v>
      </c>
      <c r="C91" s="1">
        <v>13</v>
      </c>
      <c r="D91" s="1">
        <v>14</v>
      </c>
      <c r="E91" s="1">
        <v>76.2</v>
      </c>
      <c r="F91" s="90">
        <v>5.4428571428571404</v>
      </c>
    </row>
    <row r="92" spans="1:6" x14ac:dyDescent="0.3">
      <c r="A92" s="1" t="s">
        <v>12</v>
      </c>
      <c r="B92" s="1" t="s">
        <v>5</v>
      </c>
      <c r="C92" s="1">
        <v>14</v>
      </c>
      <c r="D92" s="1">
        <v>1</v>
      </c>
      <c r="E92" s="1">
        <v>15</v>
      </c>
      <c r="F92" s="90">
        <v>15</v>
      </c>
    </row>
    <row r="93" spans="1:6" x14ac:dyDescent="0.3">
      <c r="A93" s="1" t="s">
        <v>12</v>
      </c>
      <c r="B93" s="1" t="s">
        <v>5</v>
      </c>
      <c r="C93" s="1">
        <v>15</v>
      </c>
      <c r="D93" s="1">
        <v>45</v>
      </c>
      <c r="E93" s="1">
        <v>386.5</v>
      </c>
      <c r="F93" s="90">
        <v>8.5888888888888903</v>
      </c>
    </row>
    <row r="94" spans="1:6" x14ac:dyDescent="0.3">
      <c r="A94" s="1" t="s">
        <v>12</v>
      </c>
      <c r="B94" s="1" t="s">
        <v>5</v>
      </c>
      <c r="C94" s="1">
        <v>16</v>
      </c>
      <c r="D94" s="1">
        <v>1</v>
      </c>
      <c r="E94" s="1">
        <v>25.5</v>
      </c>
      <c r="F94" s="90">
        <v>25.5</v>
      </c>
    </row>
    <row r="95" spans="1:6" x14ac:dyDescent="0.3">
      <c r="A95" s="1" t="s">
        <v>13</v>
      </c>
      <c r="B95" s="1" t="s">
        <v>184</v>
      </c>
      <c r="C95" s="1">
        <v>0</v>
      </c>
      <c r="D95" s="1">
        <v>2</v>
      </c>
      <c r="E95" s="1">
        <v>0</v>
      </c>
      <c r="F95" s="90">
        <v>0</v>
      </c>
    </row>
    <row r="96" spans="1:6" x14ac:dyDescent="0.3">
      <c r="A96" s="1" t="s">
        <v>13</v>
      </c>
      <c r="B96" s="1" t="s">
        <v>184</v>
      </c>
      <c r="C96" s="1">
        <v>21</v>
      </c>
      <c r="D96" s="1">
        <v>11</v>
      </c>
      <c r="E96" s="1">
        <v>44</v>
      </c>
      <c r="F96" s="90">
        <v>4</v>
      </c>
    </row>
    <row r="97" spans="1:6" x14ac:dyDescent="0.3">
      <c r="A97" s="1" t="s">
        <v>13</v>
      </c>
      <c r="B97" s="1" t="s">
        <v>184</v>
      </c>
      <c r="C97" s="1">
        <v>22</v>
      </c>
      <c r="D97" s="1">
        <v>18</v>
      </c>
      <c r="E97" s="1">
        <v>72</v>
      </c>
      <c r="F97" s="90">
        <v>4</v>
      </c>
    </row>
    <row r="98" spans="1:6" x14ac:dyDescent="0.3">
      <c r="A98" s="1" t="s">
        <v>13</v>
      </c>
      <c r="B98" s="1" t="s">
        <v>183</v>
      </c>
      <c r="C98" s="1">
        <v>0</v>
      </c>
      <c r="D98" s="1">
        <v>2</v>
      </c>
      <c r="E98" s="1">
        <v>0</v>
      </c>
      <c r="F98" s="90">
        <v>0</v>
      </c>
    </row>
    <row r="99" spans="1:6" x14ac:dyDescent="0.3">
      <c r="A99" s="1" t="s">
        <v>13</v>
      </c>
      <c r="B99" s="1" t="s">
        <v>183</v>
      </c>
      <c r="C99" s="1">
        <v>31</v>
      </c>
      <c r="D99" s="1">
        <v>61</v>
      </c>
      <c r="E99" s="1">
        <v>488</v>
      </c>
      <c r="F99" s="90">
        <v>8</v>
      </c>
    </row>
    <row r="100" spans="1:6" x14ac:dyDescent="0.3">
      <c r="A100" s="1" t="s">
        <v>13</v>
      </c>
      <c r="B100" s="1" t="s">
        <v>183</v>
      </c>
      <c r="C100" s="1">
        <v>32</v>
      </c>
      <c r="D100" s="1">
        <v>71</v>
      </c>
      <c r="E100" s="1">
        <v>710</v>
      </c>
      <c r="F100" s="90">
        <v>10</v>
      </c>
    </row>
    <row r="101" spans="1:6" x14ac:dyDescent="0.3">
      <c r="A101" s="1" t="s">
        <v>13</v>
      </c>
      <c r="B101" s="1" t="s">
        <v>183</v>
      </c>
      <c r="C101" s="1">
        <v>33</v>
      </c>
      <c r="D101" s="1">
        <v>1</v>
      </c>
      <c r="E101" s="1">
        <v>7.5</v>
      </c>
      <c r="F101" s="90">
        <v>7.5</v>
      </c>
    </row>
    <row r="102" spans="1:6" x14ac:dyDescent="0.3">
      <c r="A102" s="1" t="s">
        <v>13</v>
      </c>
      <c r="B102" s="1" t="s">
        <v>183</v>
      </c>
      <c r="C102" s="1">
        <v>35</v>
      </c>
      <c r="D102" s="1">
        <v>1</v>
      </c>
      <c r="E102" s="1">
        <v>7.5</v>
      </c>
      <c r="F102" s="90">
        <v>7.5</v>
      </c>
    </row>
    <row r="103" spans="1:6" x14ac:dyDescent="0.3">
      <c r="A103" s="1" t="s">
        <v>13</v>
      </c>
      <c r="B103" s="1" t="s">
        <v>183</v>
      </c>
      <c r="C103" s="1">
        <v>36</v>
      </c>
      <c r="D103" s="1">
        <v>1</v>
      </c>
      <c r="E103" s="1">
        <v>15</v>
      </c>
      <c r="F103" s="90">
        <v>15</v>
      </c>
    </row>
    <row r="104" spans="1:6" x14ac:dyDescent="0.3">
      <c r="A104" s="1" t="s">
        <v>13</v>
      </c>
      <c r="B104" s="1" t="s">
        <v>159</v>
      </c>
      <c r="C104" s="1">
        <v>42</v>
      </c>
      <c r="D104" s="1">
        <v>2</v>
      </c>
      <c r="E104" s="1">
        <v>4</v>
      </c>
      <c r="F104" s="90">
        <v>2</v>
      </c>
    </row>
    <row r="105" spans="1:6" x14ac:dyDescent="0.3">
      <c r="A105" s="1" t="s">
        <v>13</v>
      </c>
      <c r="B105" s="1" t="s">
        <v>5</v>
      </c>
      <c r="C105" s="1">
        <v>0</v>
      </c>
      <c r="D105" s="1">
        <v>1</v>
      </c>
      <c r="E105" s="1">
        <v>0</v>
      </c>
      <c r="F105" s="90">
        <v>0</v>
      </c>
    </row>
    <row r="106" spans="1:6" x14ac:dyDescent="0.3">
      <c r="A106" s="1" t="s">
        <v>13</v>
      </c>
      <c r="B106" s="1" t="s">
        <v>5</v>
      </c>
      <c r="C106" s="1">
        <v>11</v>
      </c>
      <c r="D106" s="1">
        <v>28</v>
      </c>
      <c r="E106" s="1">
        <v>308</v>
      </c>
      <c r="F106" s="90">
        <v>11</v>
      </c>
    </row>
    <row r="107" spans="1:6" x14ac:dyDescent="0.3">
      <c r="A107" s="1" t="s">
        <v>13</v>
      </c>
      <c r="B107" s="1" t="s">
        <v>5</v>
      </c>
      <c r="C107" s="1">
        <v>12</v>
      </c>
      <c r="D107" s="1">
        <v>36</v>
      </c>
      <c r="E107" s="1">
        <v>1116</v>
      </c>
      <c r="F107" s="90">
        <v>31</v>
      </c>
    </row>
    <row r="108" spans="1:6" x14ac:dyDescent="0.3">
      <c r="A108" s="1" t="s">
        <v>13</v>
      </c>
      <c r="B108" s="1" t="s">
        <v>5</v>
      </c>
      <c r="C108" s="1">
        <v>13</v>
      </c>
      <c r="D108" s="1">
        <v>1</v>
      </c>
      <c r="E108" s="1">
        <v>7</v>
      </c>
      <c r="F108" s="90">
        <v>7</v>
      </c>
    </row>
    <row r="109" spans="1:6" x14ac:dyDescent="0.3">
      <c r="A109" s="1" t="s">
        <v>13</v>
      </c>
      <c r="B109" s="1" t="s">
        <v>5</v>
      </c>
      <c r="C109" s="1">
        <v>15</v>
      </c>
      <c r="D109" s="1">
        <v>2</v>
      </c>
      <c r="E109" s="1">
        <v>27</v>
      </c>
      <c r="F109" s="90">
        <v>13.5</v>
      </c>
    </row>
    <row r="110" spans="1:6" x14ac:dyDescent="0.3">
      <c r="A110" s="1" t="s">
        <v>14</v>
      </c>
      <c r="B110" s="1" t="s">
        <v>184</v>
      </c>
      <c r="C110" s="1">
        <v>0</v>
      </c>
      <c r="D110" s="1">
        <v>13</v>
      </c>
      <c r="E110" s="1">
        <v>0</v>
      </c>
      <c r="F110" s="90">
        <v>0</v>
      </c>
    </row>
    <row r="111" spans="1:6" x14ac:dyDescent="0.3">
      <c r="A111" s="1" t="s">
        <v>14</v>
      </c>
      <c r="B111" s="1" t="s">
        <v>184</v>
      </c>
      <c r="C111" s="1">
        <v>21</v>
      </c>
      <c r="D111" s="1">
        <v>70</v>
      </c>
      <c r="E111" s="1">
        <v>280</v>
      </c>
      <c r="F111" s="90">
        <v>4</v>
      </c>
    </row>
    <row r="112" spans="1:6" x14ac:dyDescent="0.3">
      <c r="A112" s="1" t="s">
        <v>14</v>
      </c>
      <c r="B112" s="1" t="s">
        <v>184</v>
      </c>
      <c r="C112" s="1">
        <v>22</v>
      </c>
      <c r="D112" s="1">
        <v>194</v>
      </c>
      <c r="E112" s="1">
        <v>776</v>
      </c>
      <c r="F112" s="90">
        <v>4</v>
      </c>
    </row>
    <row r="113" spans="1:6" x14ac:dyDescent="0.3">
      <c r="A113" s="1" t="s">
        <v>14</v>
      </c>
      <c r="B113" s="1" t="s">
        <v>184</v>
      </c>
      <c r="C113" s="1">
        <v>23</v>
      </c>
      <c r="D113" s="1">
        <v>2</v>
      </c>
      <c r="E113" s="1">
        <v>6</v>
      </c>
      <c r="F113" s="90">
        <v>3</v>
      </c>
    </row>
    <row r="114" spans="1:6" x14ac:dyDescent="0.3">
      <c r="A114" s="1" t="s">
        <v>14</v>
      </c>
      <c r="B114" s="1" t="s">
        <v>184</v>
      </c>
      <c r="C114" s="1">
        <v>26</v>
      </c>
      <c r="D114" s="1">
        <v>1</v>
      </c>
      <c r="E114" s="1">
        <v>6.8</v>
      </c>
      <c r="F114" s="90">
        <v>6.8</v>
      </c>
    </row>
    <row r="115" spans="1:6" x14ac:dyDescent="0.3">
      <c r="A115" s="1" t="s">
        <v>14</v>
      </c>
      <c r="B115" s="1" t="s">
        <v>183</v>
      </c>
      <c r="C115" s="1">
        <v>0</v>
      </c>
      <c r="D115" s="1">
        <v>12</v>
      </c>
      <c r="E115" s="1">
        <v>0</v>
      </c>
      <c r="F115" s="90">
        <v>0</v>
      </c>
    </row>
    <row r="116" spans="1:6" x14ac:dyDescent="0.3">
      <c r="A116" s="1" t="s">
        <v>14</v>
      </c>
      <c r="B116" s="1" t="s">
        <v>183</v>
      </c>
      <c r="C116" s="1">
        <v>31</v>
      </c>
      <c r="D116" s="1">
        <v>103</v>
      </c>
      <c r="E116" s="1">
        <v>824</v>
      </c>
      <c r="F116" s="90">
        <v>8</v>
      </c>
    </row>
    <row r="117" spans="1:6" x14ac:dyDescent="0.3">
      <c r="A117" s="1" t="s">
        <v>14</v>
      </c>
      <c r="B117" s="1" t="s">
        <v>183</v>
      </c>
      <c r="C117" s="1">
        <v>32</v>
      </c>
      <c r="D117" s="1">
        <v>68</v>
      </c>
      <c r="E117" s="1">
        <v>680</v>
      </c>
      <c r="F117" s="90">
        <v>10</v>
      </c>
    </row>
    <row r="118" spans="1:6" x14ac:dyDescent="0.3">
      <c r="A118" s="1" t="s">
        <v>14</v>
      </c>
      <c r="B118" s="1" t="s">
        <v>183</v>
      </c>
      <c r="C118" s="1">
        <v>35</v>
      </c>
      <c r="D118" s="1">
        <v>391</v>
      </c>
      <c r="E118" s="1">
        <v>3514.6</v>
      </c>
      <c r="F118" s="90">
        <v>8.9887468030690503</v>
      </c>
    </row>
    <row r="119" spans="1:6" x14ac:dyDescent="0.3">
      <c r="A119" s="1" t="s">
        <v>14</v>
      </c>
      <c r="B119" s="1" t="s">
        <v>159</v>
      </c>
      <c r="C119" s="1">
        <v>41</v>
      </c>
      <c r="D119" s="1">
        <v>2</v>
      </c>
      <c r="E119" s="1">
        <v>4</v>
      </c>
      <c r="F119" s="90">
        <v>2</v>
      </c>
    </row>
    <row r="120" spans="1:6" x14ac:dyDescent="0.3">
      <c r="A120" s="1" t="s">
        <v>14</v>
      </c>
      <c r="B120" s="1" t="s">
        <v>159</v>
      </c>
      <c r="C120" s="1">
        <v>42</v>
      </c>
      <c r="D120" s="1">
        <v>650</v>
      </c>
      <c r="E120" s="1">
        <v>1300</v>
      </c>
      <c r="F120" s="90">
        <v>2</v>
      </c>
    </row>
    <row r="121" spans="1:6" x14ac:dyDescent="0.3">
      <c r="A121" s="1" t="s">
        <v>14</v>
      </c>
      <c r="B121" s="1" t="s">
        <v>159</v>
      </c>
      <c r="C121" s="1">
        <v>46</v>
      </c>
      <c r="D121" s="1">
        <v>1</v>
      </c>
      <c r="E121" s="1">
        <v>9</v>
      </c>
      <c r="F121" s="90">
        <v>9</v>
      </c>
    </row>
    <row r="122" spans="1:6" x14ac:dyDescent="0.3">
      <c r="A122" s="1" t="s">
        <v>14</v>
      </c>
      <c r="B122" s="1" t="s">
        <v>5</v>
      </c>
      <c r="C122" s="1">
        <v>0</v>
      </c>
      <c r="D122" s="1">
        <v>153</v>
      </c>
      <c r="E122" s="1">
        <v>0</v>
      </c>
      <c r="F122" s="90">
        <v>0</v>
      </c>
    </row>
    <row r="123" spans="1:6" x14ac:dyDescent="0.3">
      <c r="A123" s="1" t="s">
        <v>14</v>
      </c>
      <c r="B123" s="1" t="s">
        <v>5</v>
      </c>
      <c r="C123" s="1">
        <v>11</v>
      </c>
      <c r="D123" s="1">
        <v>541</v>
      </c>
      <c r="E123" s="1">
        <v>4328</v>
      </c>
      <c r="F123" s="90">
        <v>8</v>
      </c>
    </row>
    <row r="124" spans="1:6" x14ac:dyDescent="0.3">
      <c r="A124" s="1" t="s">
        <v>14</v>
      </c>
      <c r="B124" s="1" t="s">
        <v>5</v>
      </c>
      <c r="C124" s="1">
        <v>12</v>
      </c>
      <c r="D124" s="1">
        <v>2528</v>
      </c>
      <c r="E124" s="1">
        <v>22752</v>
      </c>
      <c r="F124" s="90">
        <v>9</v>
      </c>
    </row>
    <row r="125" spans="1:6" x14ac:dyDescent="0.3">
      <c r="A125" s="1" t="s">
        <v>14</v>
      </c>
      <c r="B125" s="1" t="s">
        <v>5</v>
      </c>
      <c r="C125" s="1">
        <v>13</v>
      </c>
      <c r="D125" s="1">
        <v>58</v>
      </c>
      <c r="E125" s="1">
        <v>298.8</v>
      </c>
      <c r="F125" s="90">
        <v>5.1517241379310397</v>
      </c>
    </row>
    <row r="126" spans="1:6" x14ac:dyDescent="0.3">
      <c r="A126" s="1" t="s">
        <v>14</v>
      </c>
      <c r="B126" s="1" t="s">
        <v>5</v>
      </c>
      <c r="C126" s="1">
        <v>14</v>
      </c>
      <c r="D126" s="1">
        <v>4</v>
      </c>
      <c r="E126" s="1">
        <v>56.5</v>
      </c>
      <c r="F126" s="90">
        <v>14.125</v>
      </c>
    </row>
    <row r="127" spans="1:6" x14ac:dyDescent="0.3">
      <c r="A127" s="1" t="s">
        <v>14</v>
      </c>
      <c r="B127" s="1" t="s">
        <v>5</v>
      </c>
      <c r="C127" s="1">
        <v>15</v>
      </c>
      <c r="D127" s="1">
        <v>263</v>
      </c>
      <c r="E127" s="1">
        <v>874.49999999999898</v>
      </c>
      <c r="F127" s="90">
        <v>3.3250950570342201</v>
      </c>
    </row>
    <row r="128" spans="1:6" x14ac:dyDescent="0.3">
      <c r="A128" s="1" t="s">
        <v>14</v>
      </c>
      <c r="B128" s="1" t="s">
        <v>5</v>
      </c>
      <c r="C128" s="1">
        <v>16</v>
      </c>
      <c r="D128" s="1">
        <v>7</v>
      </c>
      <c r="E128" s="1">
        <v>105</v>
      </c>
      <c r="F128" s="90">
        <v>15</v>
      </c>
    </row>
    <row r="129" spans="1:6" x14ac:dyDescent="0.3">
      <c r="A129" s="1" t="s">
        <v>15</v>
      </c>
      <c r="B129" s="1" t="s">
        <v>184</v>
      </c>
      <c r="C129" s="1">
        <v>21</v>
      </c>
      <c r="D129" s="1">
        <v>1</v>
      </c>
      <c r="E129" s="1">
        <v>4</v>
      </c>
      <c r="F129" s="90">
        <v>4</v>
      </c>
    </row>
    <row r="130" spans="1:6" x14ac:dyDescent="0.3">
      <c r="A130" s="1" t="s">
        <v>15</v>
      </c>
      <c r="B130" s="1" t="s">
        <v>159</v>
      </c>
      <c r="C130" s="1">
        <v>42</v>
      </c>
      <c r="D130" s="1">
        <v>4</v>
      </c>
      <c r="E130" s="1">
        <v>8</v>
      </c>
      <c r="F130" s="90">
        <v>2</v>
      </c>
    </row>
    <row r="131" spans="1:6" x14ac:dyDescent="0.3">
      <c r="A131" s="1" t="s">
        <v>15</v>
      </c>
      <c r="B131" s="1" t="s">
        <v>5</v>
      </c>
      <c r="C131" s="1">
        <v>11</v>
      </c>
      <c r="D131" s="1">
        <v>1</v>
      </c>
      <c r="E131" s="1">
        <v>4</v>
      </c>
      <c r="F131" s="90">
        <v>4</v>
      </c>
    </row>
    <row r="132" spans="1:6" x14ac:dyDescent="0.3">
      <c r="A132" s="1" t="s">
        <v>15</v>
      </c>
      <c r="B132" s="1" t="s">
        <v>5</v>
      </c>
      <c r="C132" s="1">
        <v>12</v>
      </c>
      <c r="D132" s="1">
        <v>2</v>
      </c>
      <c r="E132" s="1">
        <v>16</v>
      </c>
      <c r="F132" s="90">
        <v>8</v>
      </c>
    </row>
    <row r="133" spans="1:6" x14ac:dyDescent="0.3">
      <c r="A133" s="1" t="s">
        <v>16</v>
      </c>
      <c r="B133" s="1" t="s">
        <v>184</v>
      </c>
      <c r="C133" s="1">
        <v>0</v>
      </c>
      <c r="D133" s="1">
        <v>1</v>
      </c>
      <c r="E133" s="1">
        <v>0</v>
      </c>
      <c r="F133" s="90">
        <v>0</v>
      </c>
    </row>
    <row r="134" spans="1:6" x14ac:dyDescent="0.3">
      <c r="A134" s="1" t="s">
        <v>16</v>
      </c>
      <c r="B134" s="1" t="s">
        <v>184</v>
      </c>
      <c r="C134" s="1">
        <v>21</v>
      </c>
      <c r="D134" s="1">
        <v>10</v>
      </c>
      <c r="E134" s="1">
        <v>40</v>
      </c>
      <c r="F134" s="90">
        <v>4</v>
      </c>
    </row>
    <row r="135" spans="1:6" x14ac:dyDescent="0.3">
      <c r="A135" s="1" t="s">
        <v>16</v>
      </c>
      <c r="B135" s="1" t="s">
        <v>184</v>
      </c>
      <c r="C135" s="1">
        <v>22</v>
      </c>
      <c r="D135" s="1">
        <v>10</v>
      </c>
      <c r="E135" s="1">
        <v>40</v>
      </c>
      <c r="F135" s="90">
        <v>4</v>
      </c>
    </row>
    <row r="136" spans="1:6" x14ac:dyDescent="0.3">
      <c r="A136" s="1" t="s">
        <v>16</v>
      </c>
      <c r="B136" s="1" t="s">
        <v>183</v>
      </c>
      <c r="C136" s="1">
        <v>0</v>
      </c>
      <c r="D136" s="1">
        <v>1</v>
      </c>
      <c r="E136" s="1">
        <v>0</v>
      </c>
      <c r="F136" s="90">
        <v>0</v>
      </c>
    </row>
    <row r="137" spans="1:6" x14ac:dyDescent="0.3">
      <c r="A137" s="1" t="s">
        <v>16</v>
      </c>
      <c r="B137" s="1" t="s">
        <v>183</v>
      </c>
      <c r="C137" s="1">
        <v>31</v>
      </c>
      <c r="D137" s="1">
        <v>16</v>
      </c>
      <c r="E137" s="1">
        <v>128</v>
      </c>
      <c r="F137" s="90">
        <v>8</v>
      </c>
    </row>
    <row r="138" spans="1:6" x14ac:dyDescent="0.3">
      <c r="A138" s="1" t="s">
        <v>16</v>
      </c>
      <c r="B138" s="1" t="s">
        <v>183</v>
      </c>
      <c r="C138" s="1">
        <v>32</v>
      </c>
      <c r="D138" s="1">
        <v>18</v>
      </c>
      <c r="E138" s="1">
        <v>180</v>
      </c>
      <c r="F138" s="90">
        <v>10</v>
      </c>
    </row>
    <row r="139" spans="1:6" x14ac:dyDescent="0.3">
      <c r="A139" s="1" t="s">
        <v>16</v>
      </c>
      <c r="B139" s="1" t="s">
        <v>159</v>
      </c>
      <c r="C139" s="1">
        <v>42</v>
      </c>
      <c r="D139" s="1">
        <v>32</v>
      </c>
      <c r="E139" s="1">
        <v>64</v>
      </c>
      <c r="F139" s="90">
        <v>2</v>
      </c>
    </row>
    <row r="140" spans="1:6" x14ac:dyDescent="0.3">
      <c r="A140" s="1" t="s">
        <v>16</v>
      </c>
      <c r="B140" s="1" t="s">
        <v>5</v>
      </c>
      <c r="C140" s="1">
        <v>0</v>
      </c>
      <c r="D140" s="1">
        <v>1</v>
      </c>
      <c r="E140" s="1">
        <v>0</v>
      </c>
      <c r="F140" s="90">
        <v>0</v>
      </c>
    </row>
    <row r="141" spans="1:6" x14ac:dyDescent="0.3">
      <c r="A141" s="1" t="s">
        <v>16</v>
      </c>
      <c r="B141" s="1" t="s">
        <v>5</v>
      </c>
      <c r="C141" s="1">
        <v>11</v>
      </c>
      <c r="D141" s="1">
        <v>23</v>
      </c>
      <c r="E141" s="1">
        <v>184</v>
      </c>
      <c r="F141" s="90">
        <v>8</v>
      </c>
    </row>
    <row r="142" spans="1:6" x14ac:dyDescent="0.3">
      <c r="A142" s="1" t="s">
        <v>16</v>
      </c>
      <c r="B142" s="1" t="s">
        <v>5</v>
      </c>
      <c r="C142" s="1">
        <v>12</v>
      </c>
      <c r="D142" s="1">
        <v>102</v>
      </c>
      <c r="E142" s="1">
        <v>1020</v>
      </c>
      <c r="F142" s="90">
        <v>10</v>
      </c>
    </row>
    <row r="143" spans="1:6" x14ac:dyDescent="0.3">
      <c r="A143" s="1" t="s">
        <v>16</v>
      </c>
      <c r="B143" s="1" t="s">
        <v>5</v>
      </c>
      <c r="C143" s="1">
        <v>13</v>
      </c>
      <c r="D143" s="1">
        <v>2</v>
      </c>
      <c r="E143" s="1">
        <v>14</v>
      </c>
      <c r="F143" s="90">
        <v>7</v>
      </c>
    </row>
    <row r="144" spans="1:6" x14ac:dyDescent="0.3">
      <c r="A144" s="1" t="s">
        <v>16</v>
      </c>
      <c r="B144" s="1" t="s">
        <v>5</v>
      </c>
      <c r="C144" s="1">
        <v>15</v>
      </c>
      <c r="D144" s="1">
        <v>4</v>
      </c>
      <c r="E144" s="1">
        <v>19</v>
      </c>
      <c r="F144" s="90">
        <v>4.75</v>
      </c>
    </row>
    <row r="145" spans="1:6" x14ac:dyDescent="0.3">
      <c r="A145" s="1" t="s">
        <v>17</v>
      </c>
      <c r="B145" s="1" t="s">
        <v>184</v>
      </c>
      <c r="C145" s="1">
        <v>0</v>
      </c>
      <c r="D145" s="1">
        <v>24</v>
      </c>
      <c r="E145" s="1">
        <v>0</v>
      </c>
      <c r="F145" s="90">
        <v>0</v>
      </c>
    </row>
    <row r="146" spans="1:6" x14ac:dyDescent="0.3">
      <c r="A146" s="1" t="s">
        <v>17</v>
      </c>
      <c r="B146" s="1" t="s">
        <v>184</v>
      </c>
      <c r="C146" s="1">
        <v>21</v>
      </c>
      <c r="D146" s="1">
        <v>81</v>
      </c>
      <c r="E146" s="1">
        <v>324</v>
      </c>
      <c r="F146" s="90">
        <v>4</v>
      </c>
    </row>
    <row r="147" spans="1:6" x14ac:dyDescent="0.3">
      <c r="A147" s="1" t="s">
        <v>17</v>
      </c>
      <c r="B147" s="1" t="s">
        <v>184</v>
      </c>
      <c r="C147" s="1">
        <v>22</v>
      </c>
      <c r="D147" s="1">
        <v>245</v>
      </c>
      <c r="E147" s="1">
        <v>980</v>
      </c>
      <c r="F147" s="90">
        <v>4</v>
      </c>
    </row>
    <row r="148" spans="1:6" x14ac:dyDescent="0.3">
      <c r="A148" s="1" t="s">
        <v>17</v>
      </c>
      <c r="B148" s="1" t="s">
        <v>184</v>
      </c>
      <c r="C148" s="1">
        <v>25</v>
      </c>
      <c r="D148" s="1">
        <v>4</v>
      </c>
      <c r="E148" s="1">
        <v>12</v>
      </c>
      <c r="F148" s="90">
        <v>3</v>
      </c>
    </row>
    <row r="149" spans="1:6" x14ac:dyDescent="0.3">
      <c r="A149" s="1" t="s">
        <v>17</v>
      </c>
      <c r="B149" s="1" t="s">
        <v>183</v>
      </c>
      <c r="C149" s="1">
        <v>0</v>
      </c>
      <c r="D149" s="1">
        <v>16</v>
      </c>
      <c r="E149" s="1">
        <v>0</v>
      </c>
      <c r="F149" s="90">
        <v>0</v>
      </c>
    </row>
    <row r="150" spans="1:6" x14ac:dyDescent="0.3">
      <c r="A150" s="1" t="s">
        <v>17</v>
      </c>
      <c r="B150" s="1" t="s">
        <v>183</v>
      </c>
      <c r="C150" s="1">
        <v>31</v>
      </c>
      <c r="D150" s="1">
        <v>230</v>
      </c>
      <c r="E150" s="1">
        <v>1840</v>
      </c>
      <c r="F150" s="90">
        <v>8</v>
      </c>
    </row>
    <row r="151" spans="1:6" x14ac:dyDescent="0.3">
      <c r="A151" s="1" t="s">
        <v>17</v>
      </c>
      <c r="B151" s="1" t="s">
        <v>183</v>
      </c>
      <c r="C151" s="1">
        <v>32</v>
      </c>
      <c r="D151" s="1">
        <v>130</v>
      </c>
      <c r="E151" s="1">
        <v>1300</v>
      </c>
      <c r="F151" s="90">
        <v>10</v>
      </c>
    </row>
    <row r="152" spans="1:6" x14ac:dyDescent="0.3">
      <c r="A152" s="1" t="s">
        <v>17</v>
      </c>
      <c r="B152" s="1" t="s">
        <v>183</v>
      </c>
      <c r="C152" s="1">
        <v>33</v>
      </c>
      <c r="D152" s="1">
        <v>1</v>
      </c>
      <c r="E152" s="1">
        <v>4</v>
      </c>
      <c r="F152" s="90">
        <v>4</v>
      </c>
    </row>
    <row r="153" spans="1:6" x14ac:dyDescent="0.3">
      <c r="A153" s="1" t="s">
        <v>17</v>
      </c>
      <c r="B153" s="1" t="s">
        <v>183</v>
      </c>
      <c r="C153" s="1">
        <v>35</v>
      </c>
      <c r="D153" s="1">
        <v>444</v>
      </c>
      <c r="E153" s="1">
        <v>3552</v>
      </c>
      <c r="F153" s="90">
        <v>8</v>
      </c>
    </row>
    <row r="154" spans="1:6" x14ac:dyDescent="0.3">
      <c r="A154" s="1" t="s">
        <v>17</v>
      </c>
      <c r="B154" s="1" t="s">
        <v>159</v>
      </c>
      <c r="C154" s="1">
        <v>41</v>
      </c>
      <c r="D154" s="1">
        <v>4</v>
      </c>
      <c r="E154" s="1">
        <v>8</v>
      </c>
      <c r="F154" s="90">
        <v>2</v>
      </c>
    </row>
    <row r="155" spans="1:6" x14ac:dyDescent="0.3">
      <c r="A155" s="1" t="s">
        <v>17</v>
      </c>
      <c r="B155" s="1" t="s">
        <v>159</v>
      </c>
      <c r="C155" s="1">
        <v>42</v>
      </c>
      <c r="D155" s="1">
        <v>154</v>
      </c>
      <c r="E155" s="1">
        <v>308</v>
      </c>
      <c r="F155" s="90">
        <v>2</v>
      </c>
    </row>
    <row r="156" spans="1:6" x14ac:dyDescent="0.3">
      <c r="A156" s="1" t="s">
        <v>17</v>
      </c>
      <c r="B156" s="1" t="s">
        <v>159</v>
      </c>
      <c r="C156" s="1">
        <v>46</v>
      </c>
      <c r="D156" s="1">
        <v>1</v>
      </c>
      <c r="E156" s="1">
        <v>8</v>
      </c>
      <c r="F156" s="90">
        <v>8</v>
      </c>
    </row>
    <row r="157" spans="1:6" x14ac:dyDescent="0.3">
      <c r="A157" s="1" t="s">
        <v>17</v>
      </c>
      <c r="B157" s="1" t="s">
        <v>5</v>
      </c>
      <c r="C157" s="1">
        <v>0</v>
      </c>
      <c r="D157" s="1">
        <v>531</v>
      </c>
      <c r="E157" s="1">
        <v>0</v>
      </c>
      <c r="F157" s="90">
        <v>0</v>
      </c>
    </row>
    <row r="158" spans="1:6" x14ac:dyDescent="0.3">
      <c r="A158" s="1" t="s">
        <v>17</v>
      </c>
      <c r="B158" s="1" t="s">
        <v>5</v>
      </c>
      <c r="C158" s="1">
        <v>11</v>
      </c>
      <c r="D158" s="1">
        <v>1285</v>
      </c>
      <c r="E158" s="1">
        <v>10280</v>
      </c>
      <c r="F158" s="90">
        <v>8</v>
      </c>
    </row>
    <row r="159" spans="1:6" x14ac:dyDescent="0.3">
      <c r="A159" s="1" t="s">
        <v>17</v>
      </c>
      <c r="B159" s="1" t="s">
        <v>5</v>
      </c>
      <c r="C159" s="1">
        <v>12</v>
      </c>
      <c r="D159" s="1">
        <v>3109</v>
      </c>
      <c r="E159" s="1">
        <v>24872</v>
      </c>
      <c r="F159" s="90">
        <v>8</v>
      </c>
    </row>
    <row r="160" spans="1:6" x14ac:dyDescent="0.3">
      <c r="A160" s="1" t="s">
        <v>17</v>
      </c>
      <c r="B160" s="1" t="s">
        <v>5</v>
      </c>
      <c r="C160" s="1">
        <v>13</v>
      </c>
      <c r="D160" s="1">
        <v>14</v>
      </c>
      <c r="E160" s="1">
        <v>80</v>
      </c>
      <c r="F160" s="90">
        <v>5.71428571428571</v>
      </c>
    </row>
    <row r="161" spans="1:6" x14ac:dyDescent="0.3">
      <c r="A161" s="1" t="s">
        <v>17</v>
      </c>
      <c r="B161" s="1" t="s">
        <v>5</v>
      </c>
      <c r="C161" s="1">
        <v>14</v>
      </c>
      <c r="D161" s="1">
        <v>11</v>
      </c>
      <c r="E161" s="1">
        <v>170</v>
      </c>
      <c r="F161" s="90">
        <v>15.454545454545499</v>
      </c>
    </row>
    <row r="162" spans="1:6" x14ac:dyDescent="0.3">
      <c r="A162" s="1" t="s">
        <v>17</v>
      </c>
      <c r="B162" s="1" t="s">
        <v>5</v>
      </c>
      <c r="C162" s="1">
        <v>15</v>
      </c>
      <c r="D162" s="1">
        <v>52</v>
      </c>
      <c r="E162" s="1">
        <v>254.8</v>
      </c>
      <c r="F162" s="90">
        <v>4.9000000000000004</v>
      </c>
    </row>
    <row r="163" spans="1:6" x14ac:dyDescent="0.3">
      <c r="A163" s="1" t="s">
        <v>17</v>
      </c>
      <c r="B163" s="1" t="s">
        <v>5</v>
      </c>
      <c r="C163" s="1">
        <v>16</v>
      </c>
      <c r="D163" s="1">
        <v>23</v>
      </c>
      <c r="E163" s="1">
        <v>380.5</v>
      </c>
      <c r="F163" s="90">
        <v>16.543478260869598</v>
      </c>
    </row>
    <row r="164" spans="1:6" x14ac:dyDescent="0.3">
      <c r="A164" s="1" t="s">
        <v>18</v>
      </c>
      <c r="B164" s="1" t="s">
        <v>184</v>
      </c>
      <c r="C164" s="1">
        <v>21</v>
      </c>
      <c r="D164" s="1">
        <v>7</v>
      </c>
      <c r="E164" s="1">
        <v>28</v>
      </c>
      <c r="F164" s="90">
        <v>4</v>
      </c>
    </row>
    <row r="165" spans="1:6" x14ac:dyDescent="0.3">
      <c r="A165" s="1" t="s">
        <v>18</v>
      </c>
      <c r="B165" s="1" t="s">
        <v>184</v>
      </c>
      <c r="C165" s="1">
        <v>22</v>
      </c>
      <c r="D165" s="1">
        <v>7</v>
      </c>
      <c r="E165" s="1">
        <v>28</v>
      </c>
      <c r="F165" s="90">
        <v>4</v>
      </c>
    </row>
    <row r="166" spans="1:6" x14ac:dyDescent="0.3">
      <c r="A166" s="1" t="s">
        <v>18</v>
      </c>
      <c r="B166" s="1" t="s">
        <v>183</v>
      </c>
      <c r="C166" s="1">
        <v>31</v>
      </c>
      <c r="D166" s="1">
        <v>10</v>
      </c>
      <c r="E166" s="1">
        <v>80</v>
      </c>
      <c r="F166" s="90">
        <v>8</v>
      </c>
    </row>
    <row r="167" spans="1:6" x14ac:dyDescent="0.3">
      <c r="A167" s="1" t="s">
        <v>18</v>
      </c>
      <c r="B167" s="1" t="s">
        <v>183</v>
      </c>
      <c r="C167" s="1">
        <v>32</v>
      </c>
      <c r="D167" s="1">
        <v>28</v>
      </c>
      <c r="E167" s="1">
        <v>280</v>
      </c>
      <c r="F167" s="90">
        <v>10</v>
      </c>
    </row>
    <row r="168" spans="1:6" x14ac:dyDescent="0.3">
      <c r="A168" s="1" t="s">
        <v>18</v>
      </c>
      <c r="B168" s="1" t="s">
        <v>159</v>
      </c>
      <c r="C168" s="1">
        <v>42</v>
      </c>
      <c r="D168" s="1">
        <v>5</v>
      </c>
      <c r="E168" s="1">
        <v>10</v>
      </c>
      <c r="F168" s="90">
        <v>2</v>
      </c>
    </row>
    <row r="169" spans="1:6" x14ac:dyDescent="0.3">
      <c r="A169" s="1" t="s">
        <v>18</v>
      </c>
      <c r="B169" s="1" t="s">
        <v>5</v>
      </c>
      <c r="C169" s="1">
        <v>0</v>
      </c>
      <c r="D169" s="1">
        <v>14</v>
      </c>
      <c r="E169" s="1">
        <v>0</v>
      </c>
      <c r="F169" s="90">
        <v>0</v>
      </c>
    </row>
    <row r="170" spans="1:6" x14ac:dyDescent="0.3">
      <c r="A170" s="1" t="s">
        <v>18</v>
      </c>
      <c r="B170" s="1" t="s">
        <v>5</v>
      </c>
      <c r="C170" s="1">
        <v>11</v>
      </c>
      <c r="D170" s="1">
        <v>39</v>
      </c>
      <c r="E170" s="1">
        <v>312</v>
      </c>
      <c r="F170" s="90">
        <v>8</v>
      </c>
    </row>
    <row r="171" spans="1:6" x14ac:dyDescent="0.3">
      <c r="A171" s="1" t="s">
        <v>18</v>
      </c>
      <c r="B171" s="1" t="s">
        <v>5</v>
      </c>
      <c r="C171" s="1">
        <v>12</v>
      </c>
      <c r="D171" s="1">
        <v>85</v>
      </c>
      <c r="E171" s="1">
        <v>850</v>
      </c>
      <c r="F171" s="90">
        <v>10</v>
      </c>
    </row>
    <row r="172" spans="1:6" x14ac:dyDescent="0.3">
      <c r="A172" s="1" t="s">
        <v>18</v>
      </c>
      <c r="B172" s="1" t="s">
        <v>5</v>
      </c>
      <c r="C172" s="1">
        <v>13</v>
      </c>
      <c r="D172" s="1">
        <v>1</v>
      </c>
      <c r="E172" s="1">
        <v>6</v>
      </c>
      <c r="F172" s="90">
        <v>6</v>
      </c>
    </row>
    <row r="173" spans="1:6" x14ac:dyDescent="0.3">
      <c r="A173" s="1" t="s">
        <v>19</v>
      </c>
      <c r="B173" s="1" t="s">
        <v>184</v>
      </c>
      <c r="C173" s="1">
        <v>22</v>
      </c>
      <c r="D173" s="1">
        <v>1</v>
      </c>
      <c r="E173" s="1">
        <v>4</v>
      </c>
      <c r="F173" s="90">
        <v>4</v>
      </c>
    </row>
    <row r="174" spans="1:6" x14ac:dyDescent="0.3">
      <c r="A174" s="1" t="s">
        <v>19</v>
      </c>
      <c r="B174" s="1" t="s">
        <v>5</v>
      </c>
      <c r="C174" s="1">
        <v>0</v>
      </c>
      <c r="D174" s="1">
        <v>1</v>
      </c>
      <c r="E174" s="1">
        <v>0</v>
      </c>
      <c r="F174" s="90">
        <v>0</v>
      </c>
    </row>
    <row r="175" spans="1:6" x14ac:dyDescent="0.3">
      <c r="A175" s="1" t="s">
        <v>19</v>
      </c>
      <c r="B175" s="1" t="s">
        <v>5</v>
      </c>
      <c r="C175" s="1">
        <v>11</v>
      </c>
      <c r="D175" s="1">
        <v>1</v>
      </c>
      <c r="E175" s="1">
        <v>11</v>
      </c>
      <c r="F175" s="90">
        <v>11</v>
      </c>
    </row>
    <row r="176" spans="1:6" x14ac:dyDescent="0.3">
      <c r="A176" s="1" t="s">
        <v>19</v>
      </c>
      <c r="B176" s="1" t="s">
        <v>5</v>
      </c>
      <c r="C176" s="1">
        <v>12</v>
      </c>
      <c r="D176" s="1">
        <v>1</v>
      </c>
      <c r="E176" s="1">
        <v>15</v>
      </c>
      <c r="F176" s="90">
        <v>15</v>
      </c>
    </row>
    <row r="177" spans="1:6" x14ac:dyDescent="0.3">
      <c r="A177" s="1" t="s">
        <v>20</v>
      </c>
      <c r="B177" s="1" t="s">
        <v>184</v>
      </c>
      <c r="C177" s="1">
        <v>0</v>
      </c>
      <c r="D177" s="1">
        <v>14</v>
      </c>
      <c r="E177" s="1">
        <v>0</v>
      </c>
      <c r="F177" s="90">
        <v>0</v>
      </c>
    </row>
    <row r="178" spans="1:6" x14ac:dyDescent="0.3">
      <c r="A178" s="1" t="s">
        <v>20</v>
      </c>
      <c r="B178" s="1" t="s">
        <v>184</v>
      </c>
      <c r="C178" s="1">
        <v>21</v>
      </c>
      <c r="D178" s="1">
        <v>46</v>
      </c>
      <c r="E178" s="1">
        <v>184</v>
      </c>
      <c r="F178" s="90">
        <v>4</v>
      </c>
    </row>
    <row r="179" spans="1:6" x14ac:dyDescent="0.3">
      <c r="A179" s="1" t="s">
        <v>20</v>
      </c>
      <c r="B179" s="1" t="s">
        <v>184</v>
      </c>
      <c r="C179" s="1">
        <v>22</v>
      </c>
      <c r="D179" s="1">
        <v>128</v>
      </c>
      <c r="E179" s="1">
        <v>512</v>
      </c>
      <c r="F179" s="90">
        <v>4</v>
      </c>
    </row>
    <row r="180" spans="1:6" x14ac:dyDescent="0.3">
      <c r="A180" s="1" t="s">
        <v>20</v>
      </c>
      <c r="B180" s="1" t="s">
        <v>183</v>
      </c>
      <c r="C180" s="1">
        <v>0</v>
      </c>
      <c r="D180" s="1">
        <v>4</v>
      </c>
      <c r="E180" s="1">
        <v>0</v>
      </c>
      <c r="F180" s="90">
        <v>0</v>
      </c>
    </row>
    <row r="181" spans="1:6" x14ac:dyDescent="0.3">
      <c r="A181" s="1" t="s">
        <v>20</v>
      </c>
      <c r="B181" s="1" t="s">
        <v>183</v>
      </c>
      <c r="C181" s="1">
        <v>31</v>
      </c>
      <c r="D181" s="1">
        <v>99</v>
      </c>
      <c r="E181" s="1">
        <v>792</v>
      </c>
      <c r="F181" s="90">
        <v>8</v>
      </c>
    </row>
    <row r="182" spans="1:6" x14ac:dyDescent="0.3">
      <c r="A182" s="1" t="s">
        <v>20</v>
      </c>
      <c r="B182" s="1" t="s">
        <v>183</v>
      </c>
      <c r="C182" s="1">
        <v>32</v>
      </c>
      <c r="D182" s="1">
        <v>94</v>
      </c>
      <c r="E182" s="1">
        <v>940</v>
      </c>
      <c r="F182" s="90">
        <v>10</v>
      </c>
    </row>
    <row r="183" spans="1:6" x14ac:dyDescent="0.3">
      <c r="A183" s="1" t="s">
        <v>20</v>
      </c>
      <c r="B183" s="1" t="s">
        <v>183</v>
      </c>
      <c r="C183" s="1">
        <v>35</v>
      </c>
      <c r="D183" s="1">
        <v>194</v>
      </c>
      <c r="E183" s="1">
        <v>1746</v>
      </c>
      <c r="F183" s="90">
        <v>9</v>
      </c>
    </row>
    <row r="184" spans="1:6" x14ac:dyDescent="0.3">
      <c r="A184" s="1" t="s">
        <v>20</v>
      </c>
      <c r="B184" s="1" t="s">
        <v>159</v>
      </c>
      <c r="C184" s="1">
        <v>42</v>
      </c>
      <c r="D184" s="1">
        <v>476</v>
      </c>
      <c r="E184" s="1">
        <v>952</v>
      </c>
      <c r="F184" s="90">
        <v>2</v>
      </c>
    </row>
    <row r="185" spans="1:6" x14ac:dyDescent="0.3">
      <c r="A185" s="1" t="s">
        <v>20</v>
      </c>
      <c r="B185" s="1" t="s">
        <v>5</v>
      </c>
      <c r="C185" s="1">
        <v>0</v>
      </c>
      <c r="D185" s="1">
        <v>153</v>
      </c>
      <c r="E185" s="1">
        <v>0</v>
      </c>
      <c r="F185" s="90">
        <v>0</v>
      </c>
    </row>
    <row r="186" spans="1:6" x14ac:dyDescent="0.3">
      <c r="A186" s="1" t="s">
        <v>20</v>
      </c>
      <c r="B186" s="1" t="s">
        <v>5</v>
      </c>
      <c r="C186" s="1">
        <v>11</v>
      </c>
      <c r="D186" s="1">
        <v>494</v>
      </c>
      <c r="E186" s="1">
        <v>3952</v>
      </c>
      <c r="F186" s="90">
        <v>8</v>
      </c>
    </row>
    <row r="187" spans="1:6" x14ac:dyDescent="0.3">
      <c r="A187" s="1" t="s">
        <v>20</v>
      </c>
      <c r="B187" s="1" t="s">
        <v>5</v>
      </c>
      <c r="C187" s="1">
        <v>12</v>
      </c>
      <c r="D187" s="1">
        <v>1654</v>
      </c>
      <c r="E187" s="1">
        <v>14886</v>
      </c>
      <c r="F187" s="90">
        <v>9</v>
      </c>
    </row>
    <row r="188" spans="1:6" x14ac:dyDescent="0.3">
      <c r="A188" s="1" t="s">
        <v>20</v>
      </c>
      <c r="B188" s="1" t="s">
        <v>5</v>
      </c>
      <c r="C188" s="1">
        <v>13</v>
      </c>
      <c r="D188" s="1">
        <v>5</v>
      </c>
      <c r="E188" s="1">
        <v>21.2</v>
      </c>
      <c r="F188" s="90">
        <v>4.24</v>
      </c>
    </row>
    <row r="189" spans="1:6" x14ac:dyDescent="0.3">
      <c r="A189" s="1" t="s">
        <v>20</v>
      </c>
      <c r="B189" s="1" t="s">
        <v>5</v>
      </c>
      <c r="C189" s="1">
        <v>14</v>
      </c>
      <c r="D189" s="1">
        <v>9</v>
      </c>
      <c r="E189" s="1">
        <v>121</v>
      </c>
      <c r="F189" s="90">
        <v>13.4444444444444</v>
      </c>
    </row>
    <row r="190" spans="1:6" x14ac:dyDescent="0.3">
      <c r="A190" s="1" t="s">
        <v>20</v>
      </c>
      <c r="B190" s="1" t="s">
        <v>5</v>
      </c>
      <c r="C190" s="1">
        <v>15</v>
      </c>
      <c r="D190" s="1">
        <v>70</v>
      </c>
      <c r="E190" s="1">
        <v>220.8</v>
      </c>
      <c r="F190" s="90">
        <v>3.1542857142857099</v>
      </c>
    </row>
    <row r="191" spans="1:6" x14ac:dyDescent="0.3">
      <c r="A191" s="1" t="s">
        <v>20</v>
      </c>
      <c r="B191" s="1" t="s">
        <v>5</v>
      </c>
      <c r="C191" s="1">
        <v>16</v>
      </c>
      <c r="D191" s="1">
        <v>10</v>
      </c>
      <c r="E191" s="1">
        <v>144</v>
      </c>
      <c r="F191" s="90">
        <v>14.4</v>
      </c>
    </row>
    <row r="192" spans="1:6" x14ac:dyDescent="0.3">
      <c r="A192" s="1" t="s">
        <v>21</v>
      </c>
      <c r="B192" s="1" t="s">
        <v>184</v>
      </c>
      <c r="C192" s="1">
        <v>0</v>
      </c>
      <c r="D192" s="1">
        <v>1</v>
      </c>
      <c r="E192" s="1">
        <v>0</v>
      </c>
      <c r="F192" s="90">
        <v>0</v>
      </c>
    </row>
    <row r="193" spans="1:6" x14ac:dyDescent="0.3">
      <c r="A193" s="1" t="s">
        <v>21</v>
      </c>
      <c r="B193" s="1" t="s">
        <v>184</v>
      </c>
      <c r="C193" s="1">
        <v>21</v>
      </c>
      <c r="D193" s="1">
        <v>3</v>
      </c>
      <c r="E193" s="1">
        <v>12</v>
      </c>
      <c r="F193" s="90">
        <v>4</v>
      </c>
    </row>
    <row r="194" spans="1:6" x14ac:dyDescent="0.3">
      <c r="A194" s="1" t="s">
        <v>21</v>
      </c>
      <c r="B194" s="1" t="s">
        <v>184</v>
      </c>
      <c r="C194" s="1">
        <v>22</v>
      </c>
      <c r="D194" s="1">
        <v>7</v>
      </c>
      <c r="E194" s="1">
        <v>28</v>
      </c>
      <c r="F194" s="90">
        <v>4</v>
      </c>
    </row>
    <row r="195" spans="1:6" x14ac:dyDescent="0.3">
      <c r="A195" s="1" t="s">
        <v>21</v>
      </c>
      <c r="B195" s="1" t="s">
        <v>184</v>
      </c>
      <c r="C195" s="1">
        <v>26</v>
      </c>
      <c r="D195" s="1">
        <v>1</v>
      </c>
      <c r="E195" s="1">
        <v>16</v>
      </c>
      <c r="F195" s="90">
        <v>16</v>
      </c>
    </row>
    <row r="196" spans="1:6" x14ac:dyDescent="0.3">
      <c r="A196" s="1" t="s">
        <v>21</v>
      </c>
      <c r="B196" s="1" t="s">
        <v>183</v>
      </c>
      <c r="C196" s="1">
        <v>31</v>
      </c>
      <c r="D196" s="1">
        <v>6</v>
      </c>
      <c r="E196" s="1">
        <v>48</v>
      </c>
      <c r="F196" s="90">
        <v>8</v>
      </c>
    </row>
    <row r="197" spans="1:6" x14ac:dyDescent="0.3">
      <c r="A197" s="1" t="s">
        <v>21</v>
      </c>
      <c r="B197" s="1" t="s">
        <v>183</v>
      </c>
      <c r="C197" s="1">
        <v>32</v>
      </c>
      <c r="D197" s="1">
        <v>26</v>
      </c>
      <c r="E197" s="1">
        <v>260</v>
      </c>
      <c r="F197" s="90">
        <v>10</v>
      </c>
    </row>
    <row r="198" spans="1:6" x14ac:dyDescent="0.3">
      <c r="A198" s="1" t="s">
        <v>21</v>
      </c>
      <c r="B198" s="1" t="s">
        <v>159</v>
      </c>
      <c r="C198" s="1">
        <v>42</v>
      </c>
      <c r="D198" s="1">
        <v>12</v>
      </c>
      <c r="E198" s="1">
        <v>24</v>
      </c>
      <c r="F198" s="90">
        <v>2</v>
      </c>
    </row>
    <row r="199" spans="1:6" x14ac:dyDescent="0.3">
      <c r="A199" s="1" t="s">
        <v>21</v>
      </c>
      <c r="B199" s="1" t="s">
        <v>5</v>
      </c>
      <c r="C199" s="1">
        <v>0</v>
      </c>
      <c r="D199" s="1">
        <v>28</v>
      </c>
      <c r="E199" s="1">
        <v>0</v>
      </c>
      <c r="F199" s="90">
        <v>0</v>
      </c>
    </row>
    <row r="200" spans="1:6" x14ac:dyDescent="0.3">
      <c r="A200" s="1" t="s">
        <v>21</v>
      </c>
      <c r="B200" s="1" t="s">
        <v>5</v>
      </c>
      <c r="C200" s="1">
        <v>11</v>
      </c>
      <c r="D200" s="1">
        <v>60</v>
      </c>
      <c r="E200" s="1">
        <v>480</v>
      </c>
      <c r="F200" s="90">
        <v>8</v>
      </c>
    </row>
    <row r="201" spans="1:6" x14ac:dyDescent="0.3">
      <c r="A201" s="1" t="s">
        <v>21</v>
      </c>
      <c r="B201" s="1" t="s">
        <v>5</v>
      </c>
      <c r="C201" s="1">
        <v>12</v>
      </c>
      <c r="D201" s="1">
        <v>513</v>
      </c>
      <c r="E201" s="1">
        <v>5130</v>
      </c>
      <c r="F201" s="90">
        <v>10</v>
      </c>
    </row>
    <row r="202" spans="1:6" x14ac:dyDescent="0.3">
      <c r="A202" s="1" t="s">
        <v>21</v>
      </c>
      <c r="B202" s="1" t="s">
        <v>5</v>
      </c>
      <c r="C202" s="1">
        <v>15</v>
      </c>
      <c r="D202" s="1">
        <v>3</v>
      </c>
      <c r="E202" s="1">
        <v>17</v>
      </c>
      <c r="F202" s="90">
        <v>5.6666666666666696</v>
      </c>
    </row>
    <row r="203" spans="1:6" x14ac:dyDescent="0.3">
      <c r="A203" s="1" t="s">
        <v>21</v>
      </c>
      <c r="B203" s="1" t="s">
        <v>5</v>
      </c>
      <c r="C203" s="1">
        <v>16</v>
      </c>
      <c r="D203" s="1">
        <v>2</v>
      </c>
      <c r="E203" s="1">
        <v>39</v>
      </c>
      <c r="F203" s="90">
        <v>19.5</v>
      </c>
    </row>
    <row r="204" spans="1:6" x14ac:dyDescent="0.3">
      <c r="A204" s="1" t="s">
        <v>22</v>
      </c>
      <c r="B204" s="1" t="s">
        <v>184</v>
      </c>
      <c r="C204" s="1">
        <v>21</v>
      </c>
      <c r="D204" s="1">
        <v>8</v>
      </c>
      <c r="E204" s="1">
        <v>32</v>
      </c>
      <c r="F204" s="90">
        <v>4</v>
      </c>
    </row>
    <row r="205" spans="1:6" x14ac:dyDescent="0.3">
      <c r="A205" s="1" t="s">
        <v>22</v>
      </c>
      <c r="B205" s="1" t="s">
        <v>184</v>
      </c>
      <c r="C205" s="1">
        <v>22</v>
      </c>
      <c r="D205" s="1">
        <v>32</v>
      </c>
      <c r="E205" s="1">
        <v>128</v>
      </c>
      <c r="F205" s="90">
        <v>4</v>
      </c>
    </row>
    <row r="206" spans="1:6" x14ac:dyDescent="0.3">
      <c r="A206" s="1" t="s">
        <v>22</v>
      </c>
      <c r="B206" s="1" t="s">
        <v>183</v>
      </c>
      <c r="C206" s="1">
        <v>31</v>
      </c>
      <c r="D206" s="1">
        <v>17</v>
      </c>
      <c r="E206" s="1">
        <v>136</v>
      </c>
      <c r="F206" s="90">
        <v>8</v>
      </c>
    </row>
    <row r="207" spans="1:6" x14ac:dyDescent="0.3">
      <c r="A207" s="1" t="s">
        <v>22</v>
      </c>
      <c r="B207" s="1" t="s">
        <v>183</v>
      </c>
      <c r="C207" s="1">
        <v>32</v>
      </c>
      <c r="D207" s="1">
        <v>7</v>
      </c>
      <c r="E207" s="1">
        <v>70</v>
      </c>
      <c r="F207" s="90">
        <v>10</v>
      </c>
    </row>
    <row r="208" spans="1:6" x14ac:dyDescent="0.3">
      <c r="A208" s="1" t="s">
        <v>22</v>
      </c>
      <c r="B208" s="1" t="s">
        <v>183</v>
      </c>
      <c r="C208" s="1">
        <v>35</v>
      </c>
      <c r="D208" s="1">
        <v>38</v>
      </c>
      <c r="E208" s="1">
        <v>342</v>
      </c>
      <c r="F208" s="90">
        <v>9</v>
      </c>
    </row>
    <row r="209" spans="1:6" x14ac:dyDescent="0.3">
      <c r="A209" s="1" t="s">
        <v>22</v>
      </c>
      <c r="B209" s="1" t="s">
        <v>159</v>
      </c>
      <c r="C209" s="1">
        <v>42</v>
      </c>
      <c r="D209" s="1">
        <v>9</v>
      </c>
      <c r="E209" s="1">
        <v>18</v>
      </c>
      <c r="F209" s="90">
        <v>2</v>
      </c>
    </row>
    <row r="210" spans="1:6" x14ac:dyDescent="0.3">
      <c r="A210" s="1" t="s">
        <v>22</v>
      </c>
      <c r="B210" s="1" t="s">
        <v>5</v>
      </c>
      <c r="C210" s="1">
        <v>0</v>
      </c>
      <c r="D210" s="1">
        <v>32</v>
      </c>
      <c r="E210" s="1">
        <v>0</v>
      </c>
      <c r="F210" s="90">
        <v>0</v>
      </c>
    </row>
    <row r="211" spans="1:6" x14ac:dyDescent="0.3">
      <c r="A211" s="1" t="s">
        <v>22</v>
      </c>
      <c r="B211" s="1" t="s">
        <v>5</v>
      </c>
      <c r="C211" s="1">
        <v>11</v>
      </c>
      <c r="D211" s="1">
        <v>60</v>
      </c>
      <c r="E211" s="1">
        <v>480</v>
      </c>
      <c r="F211" s="90">
        <v>8</v>
      </c>
    </row>
    <row r="212" spans="1:6" x14ac:dyDescent="0.3">
      <c r="A212" s="1" t="s">
        <v>22</v>
      </c>
      <c r="B212" s="1" t="s">
        <v>5</v>
      </c>
      <c r="C212" s="1">
        <v>12</v>
      </c>
      <c r="D212" s="1">
        <v>303</v>
      </c>
      <c r="E212" s="1">
        <v>2727</v>
      </c>
      <c r="F212" s="90">
        <v>9</v>
      </c>
    </row>
    <row r="213" spans="1:6" x14ac:dyDescent="0.3">
      <c r="A213" s="1" t="s">
        <v>22</v>
      </c>
      <c r="B213" s="1" t="s">
        <v>5</v>
      </c>
      <c r="C213" s="1">
        <v>15</v>
      </c>
      <c r="D213" s="1">
        <v>4</v>
      </c>
      <c r="E213" s="1">
        <v>27.2</v>
      </c>
      <c r="F213" s="90">
        <v>6.8</v>
      </c>
    </row>
    <row r="214" spans="1:6" x14ac:dyDescent="0.3">
      <c r="A214" s="1" t="s">
        <v>22</v>
      </c>
      <c r="B214" s="1" t="s">
        <v>5</v>
      </c>
      <c r="C214" s="1">
        <v>16</v>
      </c>
      <c r="D214" s="1">
        <v>3</v>
      </c>
      <c r="E214" s="1">
        <v>42</v>
      </c>
      <c r="F214" s="90">
        <v>14</v>
      </c>
    </row>
    <row r="215" spans="1:6" x14ac:dyDescent="0.3">
      <c r="A215" s="1" t="s">
        <v>23</v>
      </c>
      <c r="B215" s="1" t="s">
        <v>184</v>
      </c>
      <c r="C215" s="1">
        <v>0</v>
      </c>
      <c r="D215" s="1">
        <v>3</v>
      </c>
      <c r="E215" s="1">
        <v>0</v>
      </c>
      <c r="F215" s="90">
        <v>0</v>
      </c>
    </row>
    <row r="216" spans="1:6" x14ac:dyDescent="0.3">
      <c r="A216" s="1" t="s">
        <v>23</v>
      </c>
      <c r="B216" s="1" t="s">
        <v>184</v>
      </c>
      <c r="C216" s="1">
        <v>21</v>
      </c>
      <c r="D216" s="1">
        <v>31</v>
      </c>
      <c r="E216" s="1">
        <v>124</v>
      </c>
      <c r="F216" s="90">
        <v>4</v>
      </c>
    </row>
    <row r="217" spans="1:6" x14ac:dyDescent="0.3">
      <c r="A217" s="1" t="s">
        <v>23</v>
      </c>
      <c r="B217" s="1" t="s">
        <v>184</v>
      </c>
      <c r="C217" s="1">
        <v>22</v>
      </c>
      <c r="D217" s="1">
        <v>102</v>
      </c>
      <c r="E217" s="1">
        <v>408</v>
      </c>
      <c r="F217" s="90">
        <v>4</v>
      </c>
    </row>
    <row r="218" spans="1:6" x14ac:dyDescent="0.3">
      <c r="A218" s="1" t="s">
        <v>23</v>
      </c>
      <c r="B218" s="1" t="s">
        <v>183</v>
      </c>
      <c r="C218" s="1">
        <v>0</v>
      </c>
      <c r="D218" s="1">
        <v>6</v>
      </c>
      <c r="E218" s="1">
        <v>0</v>
      </c>
      <c r="F218" s="90">
        <v>0</v>
      </c>
    </row>
    <row r="219" spans="1:6" x14ac:dyDescent="0.3">
      <c r="A219" s="1" t="s">
        <v>23</v>
      </c>
      <c r="B219" s="1" t="s">
        <v>183</v>
      </c>
      <c r="C219" s="1">
        <v>31</v>
      </c>
      <c r="D219" s="1">
        <v>55</v>
      </c>
      <c r="E219" s="1">
        <v>440</v>
      </c>
      <c r="F219" s="90">
        <v>8</v>
      </c>
    </row>
    <row r="220" spans="1:6" x14ac:dyDescent="0.3">
      <c r="A220" s="1" t="s">
        <v>23</v>
      </c>
      <c r="B220" s="1" t="s">
        <v>183</v>
      </c>
      <c r="C220" s="1">
        <v>32</v>
      </c>
      <c r="D220" s="1">
        <v>229</v>
      </c>
      <c r="E220" s="1">
        <v>2290</v>
      </c>
      <c r="F220" s="90">
        <v>10</v>
      </c>
    </row>
    <row r="221" spans="1:6" x14ac:dyDescent="0.3">
      <c r="A221" s="1" t="s">
        <v>23</v>
      </c>
      <c r="B221" s="1" t="s">
        <v>183</v>
      </c>
      <c r="C221" s="1">
        <v>36</v>
      </c>
      <c r="D221" s="1">
        <v>1</v>
      </c>
      <c r="E221" s="1">
        <v>15</v>
      </c>
      <c r="F221" s="90">
        <v>15</v>
      </c>
    </row>
    <row r="222" spans="1:6" x14ac:dyDescent="0.3">
      <c r="A222" s="1" t="s">
        <v>23</v>
      </c>
      <c r="B222" s="1" t="s">
        <v>159</v>
      </c>
      <c r="C222" s="1">
        <v>41</v>
      </c>
      <c r="D222" s="1">
        <v>1</v>
      </c>
      <c r="E222" s="1">
        <v>2</v>
      </c>
      <c r="F222" s="90">
        <v>2</v>
      </c>
    </row>
    <row r="223" spans="1:6" x14ac:dyDescent="0.3">
      <c r="A223" s="1" t="s">
        <v>23</v>
      </c>
      <c r="B223" s="1" t="s">
        <v>159</v>
      </c>
      <c r="C223" s="1">
        <v>42</v>
      </c>
      <c r="D223" s="1">
        <v>99</v>
      </c>
      <c r="E223" s="1">
        <v>198</v>
      </c>
      <c r="F223" s="90">
        <v>2</v>
      </c>
    </row>
    <row r="224" spans="1:6" x14ac:dyDescent="0.3">
      <c r="A224" s="1" t="s">
        <v>23</v>
      </c>
      <c r="B224" s="1" t="s">
        <v>5</v>
      </c>
      <c r="C224" s="1">
        <v>0</v>
      </c>
      <c r="D224" s="1">
        <v>149</v>
      </c>
      <c r="E224" s="1">
        <v>0</v>
      </c>
      <c r="F224" s="90">
        <v>0</v>
      </c>
    </row>
    <row r="225" spans="1:6" x14ac:dyDescent="0.3">
      <c r="A225" s="1" t="s">
        <v>23</v>
      </c>
      <c r="B225" s="1" t="s">
        <v>5</v>
      </c>
      <c r="C225" s="1">
        <v>11</v>
      </c>
      <c r="D225" s="1">
        <v>789</v>
      </c>
      <c r="E225" s="1">
        <v>6312</v>
      </c>
      <c r="F225" s="90">
        <v>8</v>
      </c>
    </row>
    <row r="226" spans="1:6" x14ac:dyDescent="0.3">
      <c r="A226" s="1" t="s">
        <v>23</v>
      </c>
      <c r="B226" s="1" t="s">
        <v>5</v>
      </c>
      <c r="C226" s="1">
        <v>12</v>
      </c>
      <c r="D226" s="1">
        <v>2779</v>
      </c>
      <c r="E226" s="1">
        <v>27790</v>
      </c>
      <c r="F226" s="90">
        <v>10</v>
      </c>
    </row>
    <row r="227" spans="1:6" x14ac:dyDescent="0.3">
      <c r="A227" s="1" t="s">
        <v>23</v>
      </c>
      <c r="B227" s="1" t="s">
        <v>5</v>
      </c>
      <c r="C227" s="1">
        <v>14</v>
      </c>
      <c r="D227" s="1">
        <v>3</v>
      </c>
      <c r="E227" s="1">
        <v>40</v>
      </c>
      <c r="F227" s="90">
        <v>13.3333333333333</v>
      </c>
    </row>
    <row r="228" spans="1:6" x14ac:dyDescent="0.3">
      <c r="A228" s="1" t="s">
        <v>23</v>
      </c>
      <c r="B228" s="1" t="s">
        <v>5</v>
      </c>
      <c r="C228" s="1">
        <v>15</v>
      </c>
      <c r="D228" s="1">
        <v>7</v>
      </c>
      <c r="E228" s="1">
        <v>27</v>
      </c>
      <c r="F228" s="90">
        <v>3.8571428571428599</v>
      </c>
    </row>
    <row r="229" spans="1:6" x14ac:dyDescent="0.3">
      <c r="A229" s="1" t="s">
        <v>23</v>
      </c>
      <c r="B229" s="1" t="s">
        <v>5</v>
      </c>
      <c r="C229" s="1">
        <v>16</v>
      </c>
      <c r="D229" s="1">
        <v>7</v>
      </c>
      <c r="E229" s="1">
        <v>107</v>
      </c>
      <c r="F229" s="90">
        <v>15.285714285714301</v>
      </c>
    </row>
    <row r="230" spans="1:6" x14ac:dyDescent="0.3">
      <c r="A230" s="1" t="s">
        <v>24</v>
      </c>
      <c r="B230" s="1" t="s">
        <v>184</v>
      </c>
      <c r="C230" s="1">
        <v>0</v>
      </c>
      <c r="D230" s="1">
        <v>8</v>
      </c>
      <c r="E230" s="1">
        <v>0</v>
      </c>
      <c r="F230" s="90">
        <v>0</v>
      </c>
    </row>
    <row r="231" spans="1:6" x14ac:dyDescent="0.3">
      <c r="A231" s="1" t="s">
        <v>24</v>
      </c>
      <c r="B231" s="1" t="s">
        <v>184</v>
      </c>
      <c r="C231" s="1">
        <v>21</v>
      </c>
      <c r="D231" s="1">
        <v>22</v>
      </c>
      <c r="E231" s="1">
        <v>88</v>
      </c>
      <c r="F231" s="90">
        <v>4</v>
      </c>
    </row>
    <row r="232" spans="1:6" x14ac:dyDescent="0.3">
      <c r="A232" s="1" t="s">
        <v>24</v>
      </c>
      <c r="B232" s="1" t="s">
        <v>184</v>
      </c>
      <c r="C232" s="1">
        <v>22</v>
      </c>
      <c r="D232" s="1">
        <v>71</v>
      </c>
      <c r="E232" s="1">
        <v>284</v>
      </c>
      <c r="F232" s="90">
        <v>4</v>
      </c>
    </row>
    <row r="233" spans="1:6" x14ac:dyDescent="0.3">
      <c r="A233" s="1" t="s">
        <v>24</v>
      </c>
      <c r="B233" s="1" t="s">
        <v>183</v>
      </c>
      <c r="C233" s="1">
        <v>0</v>
      </c>
      <c r="D233" s="1">
        <v>3</v>
      </c>
      <c r="E233" s="1">
        <v>0</v>
      </c>
      <c r="F233" s="90">
        <v>0</v>
      </c>
    </row>
    <row r="234" spans="1:6" x14ac:dyDescent="0.3">
      <c r="A234" s="1" t="s">
        <v>24</v>
      </c>
      <c r="B234" s="1" t="s">
        <v>183</v>
      </c>
      <c r="C234" s="1">
        <v>31</v>
      </c>
      <c r="D234" s="1">
        <v>39</v>
      </c>
      <c r="E234" s="1">
        <v>312</v>
      </c>
      <c r="F234" s="90">
        <v>8</v>
      </c>
    </row>
    <row r="235" spans="1:6" x14ac:dyDescent="0.3">
      <c r="A235" s="1" t="s">
        <v>24</v>
      </c>
      <c r="B235" s="1" t="s">
        <v>183</v>
      </c>
      <c r="C235" s="1">
        <v>32</v>
      </c>
      <c r="D235" s="1">
        <v>135</v>
      </c>
      <c r="E235" s="1">
        <v>1350</v>
      </c>
      <c r="F235" s="90">
        <v>10</v>
      </c>
    </row>
    <row r="236" spans="1:6" x14ac:dyDescent="0.3">
      <c r="A236" s="1" t="s">
        <v>24</v>
      </c>
      <c r="B236" s="1" t="s">
        <v>183</v>
      </c>
      <c r="C236" s="1">
        <v>35</v>
      </c>
      <c r="D236" s="1">
        <v>4</v>
      </c>
      <c r="E236" s="1">
        <v>16</v>
      </c>
      <c r="F236" s="90">
        <v>4</v>
      </c>
    </row>
    <row r="237" spans="1:6" x14ac:dyDescent="0.3">
      <c r="A237" s="1" t="s">
        <v>24</v>
      </c>
      <c r="B237" s="1" t="s">
        <v>159</v>
      </c>
      <c r="C237" s="1">
        <v>41</v>
      </c>
      <c r="D237" s="1">
        <v>3</v>
      </c>
      <c r="E237" s="1">
        <v>6</v>
      </c>
      <c r="F237" s="90">
        <v>2</v>
      </c>
    </row>
    <row r="238" spans="1:6" x14ac:dyDescent="0.3">
      <c r="A238" s="1" t="s">
        <v>24</v>
      </c>
      <c r="B238" s="1" t="s">
        <v>159</v>
      </c>
      <c r="C238" s="1">
        <v>42</v>
      </c>
      <c r="D238" s="1">
        <v>75</v>
      </c>
      <c r="E238" s="1">
        <v>150</v>
      </c>
      <c r="F238" s="90">
        <v>2</v>
      </c>
    </row>
    <row r="239" spans="1:6" x14ac:dyDescent="0.3">
      <c r="A239" s="1" t="s">
        <v>24</v>
      </c>
      <c r="B239" s="1" t="s">
        <v>5</v>
      </c>
      <c r="C239" s="1">
        <v>0</v>
      </c>
      <c r="D239" s="1">
        <v>67</v>
      </c>
      <c r="E239" s="1">
        <v>0</v>
      </c>
      <c r="F239" s="90">
        <v>0</v>
      </c>
    </row>
    <row r="240" spans="1:6" x14ac:dyDescent="0.3">
      <c r="A240" s="1" t="s">
        <v>24</v>
      </c>
      <c r="B240" s="1" t="s">
        <v>5</v>
      </c>
      <c r="C240" s="1">
        <v>11</v>
      </c>
      <c r="D240" s="1">
        <v>299</v>
      </c>
      <c r="E240" s="1">
        <v>2392</v>
      </c>
      <c r="F240" s="90">
        <v>8</v>
      </c>
    </row>
    <row r="241" spans="1:6" x14ac:dyDescent="0.3">
      <c r="A241" s="1" t="s">
        <v>24</v>
      </c>
      <c r="B241" s="1" t="s">
        <v>5</v>
      </c>
      <c r="C241" s="1">
        <v>12</v>
      </c>
      <c r="D241" s="1">
        <v>1187</v>
      </c>
      <c r="E241" s="1">
        <v>11870</v>
      </c>
      <c r="F241" s="90">
        <v>10</v>
      </c>
    </row>
    <row r="242" spans="1:6" x14ac:dyDescent="0.3">
      <c r="A242" s="1" t="s">
        <v>24</v>
      </c>
      <c r="B242" s="1" t="s">
        <v>5</v>
      </c>
      <c r="C242" s="1">
        <v>13</v>
      </c>
      <c r="D242" s="1">
        <v>5</v>
      </c>
      <c r="E242" s="1">
        <v>30.8</v>
      </c>
      <c r="F242" s="90">
        <v>6.16</v>
      </c>
    </row>
    <row r="243" spans="1:6" x14ac:dyDescent="0.3">
      <c r="A243" s="1" t="s">
        <v>24</v>
      </c>
      <c r="B243" s="1" t="s">
        <v>5</v>
      </c>
      <c r="C243" s="1">
        <v>14</v>
      </c>
      <c r="D243" s="1">
        <v>3</v>
      </c>
      <c r="E243" s="1">
        <v>39</v>
      </c>
      <c r="F243" s="90">
        <v>13</v>
      </c>
    </row>
    <row r="244" spans="1:6" x14ac:dyDescent="0.3">
      <c r="A244" s="1" t="s">
        <v>24</v>
      </c>
      <c r="B244" s="1" t="s">
        <v>5</v>
      </c>
      <c r="C244" s="1">
        <v>15</v>
      </c>
      <c r="D244" s="1">
        <v>19</v>
      </c>
      <c r="E244" s="1">
        <v>95</v>
      </c>
      <c r="F244" s="90">
        <v>5</v>
      </c>
    </row>
    <row r="245" spans="1:6" x14ac:dyDescent="0.3">
      <c r="A245" s="1" t="s">
        <v>24</v>
      </c>
      <c r="B245" s="1" t="s">
        <v>5</v>
      </c>
      <c r="C245" s="1">
        <v>16</v>
      </c>
      <c r="D245" s="1">
        <v>6</v>
      </c>
      <c r="E245" s="1">
        <v>105</v>
      </c>
      <c r="F245" s="90">
        <v>17.5</v>
      </c>
    </row>
    <row r="246" spans="1:6" x14ac:dyDescent="0.3">
      <c r="A246" s="1" t="s">
        <v>25</v>
      </c>
      <c r="B246" s="1" t="s">
        <v>184</v>
      </c>
      <c r="C246" s="1">
        <v>0</v>
      </c>
      <c r="D246" s="1">
        <v>1</v>
      </c>
      <c r="E246" s="1">
        <v>0</v>
      </c>
      <c r="F246" s="90">
        <v>0</v>
      </c>
    </row>
    <row r="247" spans="1:6" x14ac:dyDescent="0.3">
      <c r="A247" s="1" t="s">
        <v>25</v>
      </c>
      <c r="B247" s="1" t="s">
        <v>184</v>
      </c>
      <c r="C247" s="1">
        <v>21</v>
      </c>
      <c r="D247" s="1">
        <v>1</v>
      </c>
      <c r="E247" s="1">
        <v>4</v>
      </c>
      <c r="F247" s="90">
        <v>4</v>
      </c>
    </row>
    <row r="248" spans="1:6" x14ac:dyDescent="0.3">
      <c r="A248" s="1" t="s">
        <v>25</v>
      </c>
      <c r="B248" s="1" t="s">
        <v>184</v>
      </c>
      <c r="C248" s="1">
        <v>22</v>
      </c>
      <c r="D248" s="1">
        <v>3</v>
      </c>
      <c r="E248" s="1">
        <v>12</v>
      </c>
      <c r="F248" s="90">
        <v>4</v>
      </c>
    </row>
    <row r="249" spans="1:6" x14ac:dyDescent="0.3">
      <c r="A249" s="1" t="s">
        <v>25</v>
      </c>
      <c r="B249" s="1" t="s">
        <v>183</v>
      </c>
      <c r="C249" s="1">
        <v>31</v>
      </c>
      <c r="D249" s="1">
        <v>5</v>
      </c>
      <c r="E249" s="1">
        <v>40</v>
      </c>
      <c r="F249" s="90">
        <v>8</v>
      </c>
    </row>
    <row r="250" spans="1:6" x14ac:dyDescent="0.3">
      <c r="A250" s="1" t="s">
        <v>25</v>
      </c>
      <c r="B250" s="1" t="s">
        <v>183</v>
      </c>
      <c r="C250" s="1">
        <v>32</v>
      </c>
      <c r="D250" s="1">
        <v>2</v>
      </c>
      <c r="E250" s="1">
        <v>20</v>
      </c>
      <c r="F250" s="90">
        <v>10</v>
      </c>
    </row>
    <row r="251" spans="1:6" x14ac:dyDescent="0.3">
      <c r="A251" s="1" t="s">
        <v>25</v>
      </c>
      <c r="B251" s="1" t="s">
        <v>183</v>
      </c>
      <c r="C251" s="1">
        <v>35</v>
      </c>
      <c r="D251" s="1">
        <v>3</v>
      </c>
      <c r="E251" s="1">
        <v>27</v>
      </c>
      <c r="F251" s="90">
        <v>9</v>
      </c>
    </row>
    <row r="252" spans="1:6" x14ac:dyDescent="0.3">
      <c r="A252" s="1" t="s">
        <v>25</v>
      </c>
      <c r="B252" s="1" t="s">
        <v>159</v>
      </c>
      <c r="C252" s="1">
        <v>42</v>
      </c>
      <c r="D252" s="1">
        <v>5</v>
      </c>
      <c r="E252" s="1">
        <v>10</v>
      </c>
      <c r="F252" s="90">
        <v>2</v>
      </c>
    </row>
    <row r="253" spans="1:6" x14ac:dyDescent="0.3">
      <c r="A253" s="1" t="s">
        <v>25</v>
      </c>
      <c r="B253" s="1" t="s">
        <v>5</v>
      </c>
      <c r="C253" s="1">
        <v>0</v>
      </c>
      <c r="D253" s="1">
        <v>8</v>
      </c>
      <c r="E253" s="1">
        <v>0</v>
      </c>
      <c r="F253" s="90">
        <v>0</v>
      </c>
    </row>
    <row r="254" spans="1:6" x14ac:dyDescent="0.3">
      <c r="A254" s="1" t="s">
        <v>25</v>
      </c>
      <c r="B254" s="1" t="s">
        <v>5</v>
      </c>
      <c r="C254" s="1">
        <v>11</v>
      </c>
      <c r="D254" s="1">
        <v>36</v>
      </c>
      <c r="E254" s="1">
        <v>288</v>
      </c>
      <c r="F254" s="90">
        <v>8</v>
      </c>
    </row>
    <row r="255" spans="1:6" x14ac:dyDescent="0.3">
      <c r="A255" s="1" t="s">
        <v>25</v>
      </c>
      <c r="B255" s="1" t="s">
        <v>5</v>
      </c>
      <c r="C255" s="1">
        <v>12</v>
      </c>
      <c r="D255" s="1">
        <v>120</v>
      </c>
      <c r="E255" s="1">
        <v>1080</v>
      </c>
      <c r="F255" s="90">
        <v>9</v>
      </c>
    </row>
    <row r="256" spans="1:6" x14ac:dyDescent="0.3">
      <c r="A256" s="1" t="s">
        <v>25</v>
      </c>
      <c r="B256" s="1" t="s">
        <v>5</v>
      </c>
      <c r="C256" s="1">
        <v>16</v>
      </c>
      <c r="D256" s="1">
        <v>1</v>
      </c>
      <c r="E256" s="1">
        <v>15</v>
      </c>
      <c r="F256" s="90">
        <v>15</v>
      </c>
    </row>
    <row r="257" spans="1:6" x14ac:dyDescent="0.3">
      <c r="A257" s="1" t="s">
        <v>26</v>
      </c>
      <c r="B257" s="1" t="s">
        <v>184</v>
      </c>
      <c r="C257" s="1">
        <v>0</v>
      </c>
      <c r="D257" s="1">
        <v>6</v>
      </c>
      <c r="E257" s="1">
        <v>0</v>
      </c>
      <c r="F257" s="90">
        <v>0</v>
      </c>
    </row>
    <row r="258" spans="1:6" x14ac:dyDescent="0.3">
      <c r="A258" s="1" t="s">
        <v>26</v>
      </c>
      <c r="B258" s="1" t="s">
        <v>184</v>
      </c>
      <c r="C258" s="1">
        <v>21</v>
      </c>
      <c r="D258" s="1">
        <v>44</v>
      </c>
      <c r="E258" s="1">
        <v>176</v>
      </c>
      <c r="F258" s="90">
        <v>4</v>
      </c>
    </row>
    <row r="259" spans="1:6" x14ac:dyDescent="0.3">
      <c r="A259" s="1" t="s">
        <v>26</v>
      </c>
      <c r="B259" s="1" t="s">
        <v>184</v>
      </c>
      <c r="C259" s="1">
        <v>22</v>
      </c>
      <c r="D259" s="1">
        <v>84</v>
      </c>
      <c r="E259" s="1">
        <v>336</v>
      </c>
      <c r="F259" s="90">
        <v>4</v>
      </c>
    </row>
    <row r="260" spans="1:6" x14ac:dyDescent="0.3">
      <c r="A260" s="1" t="s">
        <v>26</v>
      </c>
      <c r="B260" s="1" t="s">
        <v>184</v>
      </c>
      <c r="C260" s="1">
        <v>26</v>
      </c>
      <c r="D260" s="1">
        <v>1</v>
      </c>
      <c r="E260" s="1">
        <v>7.5</v>
      </c>
      <c r="F260" s="90">
        <v>7.5</v>
      </c>
    </row>
    <row r="261" spans="1:6" x14ac:dyDescent="0.3">
      <c r="A261" s="1" t="s">
        <v>26</v>
      </c>
      <c r="B261" s="1" t="s">
        <v>183</v>
      </c>
      <c r="C261" s="1">
        <v>0</v>
      </c>
      <c r="D261" s="1">
        <v>6</v>
      </c>
      <c r="E261" s="1">
        <v>0</v>
      </c>
      <c r="F261" s="90">
        <v>0</v>
      </c>
    </row>
    <row r="262" spans="1:6" x14ac:dyDescent="0.3">
      <c r="A262" s="1" t="s">
        <v>26</v>
      </c>
      <c r="B262" s="1" t="s">
        <v>183</v>
      </c>
      <c r="C262" s="1">
        <v>31</v>
      </c>
      <c r="D262" s="1">
        <v>114</v>
      </c>
      <c r="E262" s="1">
        <v>912</v>
      </c>
      <c r="F262" s="90">
        <v>8</v>
      </c>
    </row>
    <row r="263" spans="1:6" x14ac:dyDescent="0.3">
      <c r="A263" s="1" t="s">
        <v>26</v>
      </c>
      <c r="B263" s="1" t="s">
        <v>183</v>
      </c>
      <c r="C263" s="1">
        <v>32</v>
      </c>
      <c r="D263" s="1">
        <v>244</v>
      </c>
      <c r="E263" s="1">
        <v>2440</v>
      </c>
      <c r="F263" s="90">
        <v>10</v>
      </c>
    </row>
    <row r="264" spans="1:6" x14ac:dyDescent="0.3">
      <c r="A264" s="1" t="s">
        <v>26</v>
      </c>
      <c r="B264" s="1" t="s">
        <v>183</v>
      </c>
      <c r="C264" s="1">
        <v>33</v>
      </c>
      <c r="D264" s="1">
        <v>4</v>
      </c>
      <c r="E264" s="1">
        <v>20</v>
      </c>
      <c r="F264" s="90">
        <v>5</v>
      </c>
    </row>
    <row r="265" spans="1:6" x14ac:dyDescent="0.3">
      <c r="A265" s="1" t="s">
        <v>26</v>
      </c>
      <c r="B265" s="1" t="s">
        <v>183</v>
      </c>
      <c r="C265" s="1">
        <v>34</v>
      </c>
      <c r="D265" s="1">
        <v>2</v>
      </c>
      <c r="E265" s="1">
        <v>18</v>
      </c>
      <c r="F265" s="90">
        <v>9</v>
      </c>
    </row>
    <row r="266" spans="1:6" x14ac:dyDescent="0.3">
      <c r="A266" s="1" t="s">
        <v>26</v>
      </c>
      <c r="B266" s="1" t="s">
        <v>183</v>
      </c>
      <c r="C266" s="1">
        <v>35</v>
      </c>
      <c r="D266" s="1">
        <v>11</v>
      </c>
      <c r="E266" s="1">
        <v>82.5</v>
      </c>
      <c r="F266" s="90">
        <v>7.5</v>
      </c>
    </row>
    <row r="267" spans="1:6" x14ac:dyDescent="0.3">
      <c r="A267" s="1" t="s">
        <v>26</v>
      </c>
      <c r="B267" s="1" t="s">
        <v>159</v>
      </c>
      <c r="C267" s="1">
        <v>42</v>
      </c>
      <c r="D267" s="1">
        <v>42</v>
      </c>
      <c r="E267" s="1">
        <v>84</v>
      </c>
      <c r="F267" s="90">
        <v>2</v>
      </c>
    </row>
    <row r="268" spans="1:6" x14ac:dyDescent="0.3">
      <c r="A268" s="1" t="s">
        <v>26</v>
      </c>
      <c r="B268" s="1" t="s">
        <v>5</v>
      </c>
      <c r="C268" s="1">
        <v>0</v>
      </c>
      <c r="D268" s="1">
        <v>13</v>
      </c>
      <c r="E268" s="1">
        <v>0</v>
      </c>
      <c r="F268" s="90">
        <v>0</v>
      </c>
    </row>
    <row r="269" spans="1:6" x14ac:dyDescent="0.3">
      <c r="A269" s="1" t="s">
        <v>26</v>
      </c>
      <c r="B269" s="1" t="s">
        <v>5</v>
      </c>
      <c r="C269" s="1">
        <v>10</v>
      </c>
      <c r="D269" s="1">
        <v>14</v>
      </c>
      <c r="E269" s="1">
        <v>0</v>
      </c>
      <c r="F269" s="90">
        <v>0</v>
      </c>
    </row>
    <row r="270" spans="1:6" x14ac:dyDescent="0.3">
      <c r="A270" s="1" t="s">
        <v>26</v>
      </c>
      <c r="B270" s="1" t="s">
        <v>5</v>
      </c>
      <c r="C270" s="1">
        <v>11</v>
      </c>
      <c r="D270" s="1">
        <v>114</v>
      </c>
      <c r="E270" s="1">
        <v>1368</v>
      </c>
      <c r="F270" s="90">
        <v>12</v>
      </c>
    </row>
    <row r="271" spans="1:6" x14ac:dyDescent="0.3">
      <c r="A271" s="1" t="s">
        <v>26</v>
      </c>
      <c r="B271" s="1" t="s">
        <v>5</v>
      </c>
      <c r="C271" s="1">
        <v>12</v>
      </c>
      <c r="D271" s="1">
        <v>204</v>
      </c>
      <c r="E271" s="1">
        <v>5100</v>
      </c>
      <c r="F271" s="90">
        <v>25</v>
      </c>
    </row>
    <row r="272" spans="1:6" x14ac:dyDescent="0.3">
      <c r="A272" s="1" t="s">
        <v>26</v>
      </c>
      <c r="B272" s="1" t="s">
        <v>5</v>
      </c>
      <c r="C272" s="1">
        <v>13</v>
      </c>
      <c r="D272" s="1">
        <v>6</v>
      </c>
      <c r="E272" s="1">
        <v>45.6</v>
      </c>
      <c r="F272" s="90">
        <v>7.6</v>
      </c>
    </row>
    <row r="273" spans="1:6" x14ac:dyDescent="0.3">
      <c r="A273" s="1" t="s">
        <v>26</v>
      </c>
      <c r="B273" s="1" t="s">
        <v>5</v>
      </c>
      <c r="C273" s="1">
        <v>14</v>
      </c>
      <c r="D273" s="1">
        <v>1</v>
      </c>
      <c r="E273" s="1">
        <v>14</v>
      </c>
      <c r="F273" s="90">
        <v>14</v>
      </c>
    </row>
    <row r="274" spans="1:6" x14ac:dyDescent="0.3">
      <c r="A274" s="1" t="s">
        <v>26</v>
      </c>
      <c r="B274" s="1" t="s">
        <v>5</v>
      </c>
      <c r="C274" s="1">
        <v>15</v>
      </c>
      <c r="D274" s="1">
        <v>40</v>
      </c>
      <c r="E274" s="1">
        <v>509</v>
      </c>
      <c r="F274" s="90">
        <v>12.725</v>
      </c>
    </row>
    <row r="275" spans="1:6" x14ac:dyDescent="0.3">
      <c r="A275" s="1" t="s">
        <v>26</v>
      </c>
      <c r="B275" s="1" t="s">
        <v>5</v>
      </c>
      <c r="C275" s="1">
        <v>16</v>
      </c>
      <c r="D275" s="1">
        <v>1</v>
      </c>
      <c r="E275" s="1">
        <v>50</v>
      </c>
      <c r="F275" s="90">
        <v>50</v>
      </c>
    </row>
    <row r="276" spans="1:6" x14ac:dyDescent="0.3">
      <c r="A276" s="1" t="s">
        <v>27</v>
      </c>
      <c r="B276" s="1" t="s">
        <v>184</v>
      </c>
      <c r="C276" s="1">
        <v>0</v>
      </c>
      <c r="D276" s="1">
        <v>1</v>
      </c>
      <c r="E276" s="1">
        <v>0</v>
      </c>
      <c r="F276" s="90">
        <v>0</v>
      </c>
    </row>
    <row r="277" spans="1:6" x14ac:dyDescent="0.3">
      <c r="A277" s="1" t="s">
        <v>27</v>
      </c>
      <c r="B277" s="1" t="s">
        <v>184</v>
      </c>
      <c r="C277" s="1">
        <v>21</v>
      </c>
      <c r="D277" s="1">
        <v>8</v>
      </c>
      <c r="E277" s="1">
        <v>32</v>
      </c>
      <c r="F277" s="90">
        <v>4</v>
      </c>
    </row>
    <row r="278" spans="1:6" x14ac:dyDescent="0.3">
      <c r="A278" s="1" t="s">
        <v>27</v>
      </c>
      <c r="B278" s="1" t="s">
        <v>184</v>
      </c>
      <c r="C278" s="1">
        <v>22</v>
      </c>
      <c r="D278" s="1">
        <v>7</v>
      </c>
      <c r="E278" s="1">
        <v>28</v>
      </c>
      <c r="F278" s="90">
        <v>4</v>
      </c>
    </row>
    <row r="279" spans="1:6" x14ac:dyDescent="0.3">
      <c r="A279" s="1" t="s">
        <v>27</v>
      </c>
      <c r="B279" s="1" t="s">
        <v>183</v>
      </c>
      <c r="C279" s="1">
        <v>0</v>
      </c>
      <c r="D279" s="1">
        <v>1</v>
      </c>
      <c r="E279" s="1">
        <v>0</v>
      </c>
      <c r="F279" s="90">
        <v>0</v>
      </c>
    </row>
    <row r="280" spans="1:6" x14ac:dyDescent="0.3">
      <c r="A280" s="1" t="s">
        <v>27</v>
      </c>
      <c r="B280" s="1" t="s">
        <v>183</v>
      </c>
      <c r="C280" s="1">
        <v>31</v>
      </c>
      <c r="D280" s="1">
        <v>15</v>
      </c>
      <c r="E280" s="1">
        <v>120</v>
      </c>
      <c r="F280" s="90">
        <v>8</v>
      </c>
    </row>
    <row r="281" spans="1:6" x14ac:dyDescent="0.3">
      <c r="A281" s="1" t="s">
        <v>27</v>
      </c>
      <c r="B281" s="1" t="s">
        <v>183</v>
      </c>
      <c r="C281" s="1">
        <v>32</v>
      </c>
      <c r="D281" s="1">
        <v>7</v>
      </c>
      <c r="E281" s="1">
        <v>70</v>
      </c>
      <c r="F281" s="90">
        <v>10</v>
      </c>
    </row>
    <row r="282" spans="1:6" x14ac:dyDescent="0.3">
      <c r="A282" s="1" t="s">
        <v>27</v>
      </c>
      <c r="B282" s="1" t="s">
        <v>183</v>
      </c>
      <c r="C282" s="1">
        <v>35</v>
      </c>
      <c r="D282" s="1">
        <v>17</v>
      </c>
      <c r="E282" s="1">
        <v>153</v>
      </c>
      <c r="F282" s="90">
        <v>9</v>
      </c>
    </row>
    <row r="283" spans="1:6" x14ac:dyDescent="0.3">
      <c r="A283" s="1" t="s">
        <v>27</v>
      </c>
      <c r="B283" s="1" t="s">
        <v>159</v>
      </c>
      <c r="C283" s="1">
        <v>42</v>
      </c>
      <c r="D283" s="1">
        <v>31</v>
      </c>
      <c r="E283" s="1">
        <v>62</v>
      </c>
      <c r="F283" s="90">
        <v>2</v>
      </c>
    </row>
    <row r="284" spans="1:6" x14ac:dyDescent="0.3">
      <c r="A284" s="1" t="s">
        <v>27</v>
      </c>
      <c r="B284" s="1" t="s">
        <v>5</v>
      </c>
      <c r="C284" s="1">
        <v>0</v>
      </c>
      <c r="D284" s="1">
        <v>7</v>
      </c>
      <c r="E284" s="1">
        <v>0</v>
      </c>
      <c r="F284" s="90">
        <v>0</v>
      </c>
    </row>
    <row r="285" spans="1:6" x14ac:dyDescent="0.3">
      <c r="A285" s="1" t="s">
        <v>27</v>
      </c>
      <c r="B285" s="1" t="s">
        <v>5</v>
      </c>
      <c r="C285" s="1">
        <v>11</v>
      </c>
      <c r="D285" s="1">
        <v>72</v>
      </c>
      <c r="E285" s="1">
        <v>576</v>
      </c>
      <c r="F285" s="90">
        <v>8</v>
      </c>
    </row>
    <row r="286" spans="1:6" x14ac:dyDescent="0.3">
      <c r="A286" s="1" t="s">
        <v>27</v>
      </c>
      <c r="B286" s="1" t="s">
        <v>5</v>
      </c>
      <c r="C286" s="1">
        <v>12</v>
      </c>
      <c r="D286" s="1">
        <v>110</v>
      </c>
      <c r="E286" s="1">
        <v>990</v>
      </c>
      <c r="F286" s="90">
        <v>9</v>
      </c>
    </row>
    <row r="287" spans="1:6" x14ac:dyDescent="0.3">
      <c r="A287" s="1" t="s">
        <v>27</v>
      </c>
      <c r="B287" s="1" t="s">
        <v>5</v>
      </c>
      <c r="C287" s="1">
        <v>13</v>
      </c>
      <c r="D287" s="1">
        <v>3</v>
      </c>
      <c r="E287" s="1">
        <v>9.6</v>
      </c>
      <c r="F287" s="90">
        <v>3.2</v>
      </c>
    </row>
    <row r="288" spans="1:6" x14ac:dyDescent="0.3">
      <c r="A288" s="1" t="s">
        <v>27</v>
      </c>
      <c r="B288" s="1" t="s">
        <v>5</v>
      </c>
      <c r="C288" s="1">
        <v>14</v>
      </c>
      <c r="D288" s="1">
        <v>5</v>
      </c>
      <c r="E288" s="1">
        <v>67.5</v>
      </c>
      <c r="F288" s="90">
        <v>13.5</v>
      </c>
    </row>
    <row r="289" spans="1:6" x14ac:dyDescent="0.3">
      <c r="A289" s="1" t="s">
        <v>27</v>
      </c>
      <c r="B289" s="1" t="s">
        <v>5</v>
      </c>
      <c r="C289" s="1">
        <v>15</v>
      </c>
      <c r="D289" s="1">
        <v>10</v>
      </c>
      <c r="E289" s="1">
        <v>29.5</v>
      </c>
      <c r="F289" s="90">
        <v>2.95</v>
      </c>
    </row>
    <row r="290" spans="1:6" x14ac:dyDescent="0.3">
      <c r="A290" s="1" t="s">
        <v>27</v>
      </c>
      <c r="B290" s="1" t="s">
        <v>5</v>
      </c>
      <c r="C290" s="1">
        <v>16</v>
      </c>
      <c r="D290" s="1">
        <v>2</v>
      </c>
      <c r="E290" s="1">
        <v>48</v>
      </c>
      <c r="F290" s="90">
        <v>24</v>
      </c>
    </row>
    <row r="291" spans="1:6" x14ac:dyDescent="0.3">
      <c r="A291" s="1" t="s">
        <v>28</v>
      </c>
      <c r="B291" s="1" t="s">
        <v>184</v>
      </c>
      <c r="C291" s="1">
        <v>0</v>
      </c>
      <c r="D291" s="1">
        <v>1</v>
      </c>
      <c r="E291" s="1">
        <v>0</v>
      </c>
      <c r="F291" s="90">
        <v>0</v>
      </c>
    </row>
    <row r="292" spans="1:6" x14ac:dyDescent="0.3">
      <c r="A292" s="1" t="s">
        <v>28</v>
      </c>
      <c r="B292" s="1" t="s">
        <v>184</v>
      </c>
      <c r="C292" s="1">
        <v>21</v>
      </c>
      <c r="D292" s="1">
        <v>3</v>
      </c>
      <c r="E292" s="1">
        <v>12</v>
      </c>
      <c r="F292" s="90">
        <v>4</v>
      </c>
    </row>
    <row r="293" spans="1:6" x14ac:dyDescent="0.3">
      <c r="A293" s="1" t="s">
        <v>28</v>
      </c>
      <c r="B293" s="1" t="s">
        <v>184</v>
      </c>
      <c r="C293" s="1">
        <v>22</v>
      </c>
      <c r="D293" s="1">
        <v>22</v>
      </c>
      <c r="E293" s="1">
        <v>88</v>
      </c>
      <c r="F293" s="90">
        <v>4</v>
      </c>
    </row>
    <row r="294" spans="1:6" x14ac:dyDescent="0.3">
      <c r="A294" s="1" t="s">
        <v>28</v>
      </c>
      <c r="B294" s="1" t="s">
        <v>184</v>
      </c>
      <c r="C294" s="1">
        <v>23</v>
      </c>
      <c r="D294" s="1">
        <v>1</v>
      </c>
      <c r="E294" s="1">
        <v>2</v>
      </c>
      <c r="F294" s="90">
        <v>2</v>
      </c>
    </row>
    <row r="295" spans="1:6" x14ac:dyDescent="0.3">
      <c r="A295" s="1" t="s">
        <v>28</v>
      </c>
      <c r="B295" s="1" t="s">
        <v>183</v>
      </c>
      <c r="C295" s="1">
        <v>0</v>
      </c>
      <c r="D295" s="1">
        <v>2</v>
      </c>
      <c r="E295" s="1">
        <v>0</v>
      </c>
      <c r="F295" s="90">
        <v>0</v>
      </c>
    </row>
    <row r="296" spans="1:6" x14ac:dyDescent="0.3">
      <c r="A296" s="1" t="s">
        <v>28</v>
      </c>
      <c r="B296" s="1" t="s">
        <v>183</v>
      </c>
      <c r="C296" s="1">
        <v>31</v>
      </c>
      <c r="D296" s="1">
        <v>20</v>
      </c>
      <c r="E296" s="1">
        <v>160</v>
      </c>
      <c r="F296" s="90">
        <v>8</v>
      </c>
    </row>
    <row r="297" spans="1:6" x14ac:dyDescent="0.3">
      <c r="A297" s="1" t="s">
        <v>28</v>
      </c>
      <c r="B297" s="1" t="s">
        <v>183</v>
      </c>
      <c r="C297" s="1">
        <v>32</v>
      </c>
      <c r="D297" s="1">
        <v>66</v>
      </c>
      <c r="E297" s="1">
        <v>660</v>
      </c>
      <c r="F297" s="90">
        <v>10</v>
      </c>
    </row>
    <row r="298" spans="1:6" x14ac:dyDescent="0.3">
      <c r="A298" s="1" t="s">
        <v>28</v>
      </c>
      <c r="B298" s="1" t="s">
        <v>183</v>
      </c>
      <c r="C298" s="1">
        <v>33</v>
      </c>
      <c r="D298" s="1">
        <v>2</v>
      </c>
      <c r="E298" s="1">
        <v>15</v>
      </c>
      <c r="F298" s="90">
        <v>7.5</v>
      </c>
    </row>
    <row r="299" spans="1:6" x14ac:dyDescent="0.3">
      <c r="A299" s="1" t="s">
        <v>28</v>
      </c>
      <c r="B299" s="1" t="s">
        <v>159</v>
      </c>
      <c r="C299" s="1">
        <v>42</v>
      </c>
      <c r="D299" s="1">
        <v>6</v>
      </c>
      <c r="E299" s="1">
        <v>12</v>
      </c>
      <c r="F299" s="90">
        <v>2</v>
      </c>
    </row>
    <row r="300" spans="1:6" x14ac:dyDescent="0.3">
      <c r="A300" s="1" t="s">
        <v>28</v>
      </c>
      <c r="B300" s="1" t="s">
        <v>5</v>
      </c>
      <c r="C300" s="1">
        <v>10</v>
      </c>
      <c r="D300" s="1">
        <v>2</v>
      </c>
      <c r="E300" s="1">
        <v>0</v>
      </c>
      <c r="F300" s="90">
        <v>0</v>
      </c>
    </row>
    <row r="301" spans="1:6" x14ac:dyDescent="0.3">
      <c r="A301" s="1" t="s">
        <v>28</v>
      </c>
      <c r="B301" s="1" t="s">
        <v>5</v>
      </c>
      <c r="C301" s="1">
        <v>11</v>
      </c>
      <c r="D301" s="1">
        <v>28</v>
      </c>
      <c r="E301" s="1">
        <v>336</v>
      </c>
      <c r="F301" s="90">
        <v>12</v>
      </c>
    </row>
    <row r="302" spans="1:6" x14ac:dyDescent="0.3">
      <c r="A302" s="1" t="s">
        <v>28</v>
      </c>
      <c r="B302" s="1" t="s">
        <v>5</v>
      </c>
      <c r="C302" s="1">
        <v>12</v>
      </c>
      <c r="D302" s="1">
        <v>55</v>
      </c>
      <c r="E302" s="1">
        <v>1155</v>
      </c>
      <c r="F302" s="90">
        <v>21</v>
      </c>
    </row>
    <row r="303" spans="1:6" x14ac:dyDescent="0.3">
      <c r="A303" s="1" t="s">
        <v>28</v>
      </c>
      <c r="B303" s="1" t="s">
        <v>5</v>
      </c>
      <c r="C303" s="1">
        <v>13</v>
      </c>
      <c r="D303" s="1">
        <v>3</v>
      </c>
      <c r="E303" s="1">
        <v>27.3</v>
      </c>
      <c r="F303" s="90">
        <v>9.1</v>
      </c>
    </row>
    <row r="304" spans="1:6" x14ac:dyDescent="0.3">
      <c r="A304" s="1" t="s">
        <v>28</v>
      </c>
      <c r="B304" s="1" t="s">
        <v>5</v>
      </c>
      <c r="C304" s="1">
        <v>15</v>
      </c>
      <c r="D304" s="1">
        <v>2</v>
      </c>
      <c r="E304" s="1">
        <v>4</v>
      </c>
      <c r="F304" s="90">
        <v>2</v>
      </c>
    </row>
    <row r="305" spans="1:6" x14ac:dyDescent="0.3">
      <c r="A305" s="1" t="s">
        <v>29</v>
      </c>
      <c r="B305" s="1" t="s">
        <v>184</v>
      </c>
      <c r="C305" s="1">
        <v>0</v>
      </c>
      <c r="D305" s="1">
        <v>7</v>
      </c>
      <c r="E305" s="1">
        <v>0</v>
      </c>
      <c r="F305" s="90">
        <v>0</v>
      </c>
    </row>
    <row r="306" spans="1:6" x14ac:dyDescent="0.3">
      <c r="A306" s="1" t="s">
        <v>29</v>
      </c>
      <c r="B306" s="1" t="s">
        <v>184</v>
      </c>
      <c r="C306" s="1">
        <v>21</v>
      </c>
      <c r="D306" s="1">
        <v>100</v>
      </c>
      <c r="E306" s="1">
        <v>400</v>
      </c>
      <c r="F306" s="90">
        <v>4</v>
      </c>
    </row>
    <row r="307" spans="1:6" x14ac:dyDescent="0.3">
      <c r="A307" s="1" t="s">
        <v>29</v>
      </c>
      <c r="B307" s="1" t="s">
        <v>184</v>
      </c>
      <c r="C307" s="1">
        <v>22</v>
      </c>
      <c r="D307" s="1">
        <v>466</v>
      </c>
      <c r="E307" s="1">
        <v>1864</v>
      </c>
      <c r="F307" s="90">
        <v>4</v>
      </c>
    </row>
    <row r="308" spans="1:6" x14ac:dyDescent="0.3">
      <c r="A308" s="1" t="s">
        <v>29</v>
      </c>
      <c r="B308" s="1" t="s">
        <v>184</v>
      </c>
      <c r="C308" s="1">
        <v>23</v>
      </c>
      <c r="D308" s="1">
        <v>3</v>
      </c>
      <c r="E308" s="1">
        <v>6</v>
      </c>
      <c r="F308" s="90">
        <v>2</v>
      </c>
    </row>
    <row r="309" spans="1:6" x14ac:dyDescent="0.3">
      <c r="A309" s="1" t="s">
        <v>29</v>
      </c>
      <c r="B309" s="1" t="s">
        <v>184</v>
      </c>
      <c r="C309" s="1">
        <v>25</v>
      </c>
      <c r="D309" s="1">
        <v>2</v>
      </c>
      <c r="E309" s="1">
        <v>6</v>
      </c>
      <c r="F309" s="90">
        <v>3</v>
      </c>
    </row>
    <row r="310" spans="1:6" x14ac:dyDescent="0.3">
      <c r="A310" s="1" t="s">
        <v>29</v>
      </c>
      <c r="B310" s="1" t="s">
        <v>183</v>
      </c>
      <c r="C310" s="1">
        <v>0</v>
      </c>
      <c r="D310" s="1">
        <v>2</v>
      </c>
      <c r="E310" s="1">
        <v>0</v>
      </c>
      <c r="F310" s="90">
        <v>0</v>
      </c>
    </row>
    <row r="311" spans="1:6" x14ac:dyDescent="0.3">
      <c r="A311" s="1" t="s">
        <v>29</v>
      </c>
      <c r="B311" s="1" t="s">
        <v>183</v>
      </c>
      <c r="C311" s="1">
        <v>30</v>
      </c>
      <c r="D311" s="1">
        <v>1</v>
      </c>
      <c r="E311" s="1">
        <v>0</v>
      </c>
      <c r="F311" s="90">
        <v>0</v>
      </c>
    </row>
    <row r="312" spans="1:6" x14ac:dyDescent="0.3">
      <c r="A312" s="1" t="s">
        <v>29</v>
      </c>
      <c r="B312" s="1" t="s">
        <v>183</v>
      </c>
      <c r="C312" s="1">
        <v>31</v>
      </c>
      <c r="D312" s="1">
        <v>160</v>
      </c>
      <c r="E312" s="1">
        <v>1280</v>
      </c>
      <c r="F312" s="90">
        <v>8</v>
      </c>
    </row>
    <row r="313" spans="1:6" x14ac:dyDescent="0.3">
      <c r="A313" s="1" t="s">
        <v>29</v>
      </c>
      <c r="B313" s="1" t="s">
        <v>183</v>
      </c>
      <c r="C313" s="1">
        <v>32</v>
      </c>
      <c r="D313" s="1">
        <v>1229</v>
      </c>
      <c r="E313" s="1">
        <v>12290</v>
      </c>
      <c r="F313" s="90">
        <v>10</v>
      </c>
    </row>
    <row r="314" spans="1:6" x14ac:dyDescent="0.3">
      <c r="A314" s="1" t="s">
        <v>29</v>
      </c>
      <c r="B314" s="1" t="s">
        <v>183</v>
      </c>
      <c r="C314" s="1">
        <v>33</v>
      </c>
      <c r="D314" s="1">
        <v>4</v>
      </c>
      <c r="E314" s="1">
        <v>24</v>
      </c>
      <c r="F314" s="90">
        <v>6</v>
      </c>
    </row>
    <row r="315" spans="1:6" x14ac:dyDescent="0.3">
      <c r="A315" s="1" t="s">
        <v>29</v>
      </c>
      <c r="B315" s="1" t="s">
        <v>183</v>
      </c>
      <c r="C315" s="1">
        <v>35</v>
      </c>
      <c r="D315" s="1">
        <v>1</v>
      </c>
      <c r="E315" s="1">
        <v>5</v>
      </c>
      <c r="F315" s="90">
        <v>5</v>
      </c>
    </row>
    <row r="316" spans="1:6" x14ac:dyDescent="0.3">
      <c r="A316" s="1" t="s">
        <v>29</v>
      </c>
      <c r="B316" s="1" t="s">
        <v>183</v>
      </c>
      <c r="C316" s="1">
        <v>36</v>
      </c>
      <c r="D316" s="1">
        <v>1</v>
      </c>
      <c r="E316" s="1">
        <v>11.2</v>
      </c>
      <c r="F316" s="90">
        <v>11.2</v>
      </c>
    </row>
    <row r="317" spans="1:6" x14ac:dyDescent="0.3">
      <c r="A317" s="1" t="s">
        <v>29</v>
      </c>
      <c r="B317" s="1" t="s">
        <v>159</v>
      </c>
      <c r="C317" s="1">
        <v>41</v>
      </c>
      <c r="D317" s="1">
        <v>2</v>
      </c>
      <c r="E317" s="1">
        <v>4</v>
      </c>
      <c r="F317" s="90">
        <v>2</v>
      </c>
    </row>
    <row r="318" spans="1:6" x14ac:dyDescent="0.3">
      <c r="A318" s="1" t="s">
        <v>29</v>
      </c>
      <c r="B318" s="1" t="s">
        <v>159</v>
      </c>
      <c r="C318" s="1">
        <v>42</v>
      </c>
      <c r="D318" s="1">
        <v>91</v>
      </c>
      <c r="E318" s="1">
        <v>182</v>
      </c>
      <c r="F318" s="90">
        <v>2</v>
      </c>
    </row>
    <row r="319" spans="1:6" x14ac:dyDescent="0.3">
      <c r="A319" s="1" t="s">
        <v>29</v>
      </c>
      <c r="B319" s="1" t="s">
        <v>5</v>
      </c>
      <c r="C319" s="1">
        <v>0</v>
      </c>
      <c r="D319" s="1">
        <v>16</v>
      </c>
      <c r="E319" s="1">
        <v>0</v>
      </c>
      <c r="F319" s="90">
        <v>0</v>
      </c>
    </row>
    <row r="320" spans="1:6" x14ac:dyDescent="0.3">
      <c r="A320" s="1" t="s">
        <v>29</v>
      </c>
      <c r="B320" s="1" t="s">
        <v>5</v>
      </c>
      <c r="C320" s="1">
        <v>10</v>
      </c>
      <c r="D320" s="1">
        <v>32</v>
      </c>
      <c r="E320" s="1">
        <v>0</v>
      </c>
      <c r="F320" s="90">
        <v>0</v>
      </c>
    </row>
    <row r="321" spans="1:6" x14ac:dyDescent="0.3">
      <c r="A321" s="1" t="s">
        <v>29</v>
      </c>
      <c r="B321" s="1" t="s">
        <v>5</v>
      </c>
      <c r="C321" s="1">
        <v>11</v>
      </c>
      <c r="D321" s="1">
        <v>204</v>
      </c>
      <c r="E321" s="1">
        <v>1836</v>
      </c>
      <c r="F321" s="90">
        <v>9</v>
      </c>
    </row>
    <row r="322" spans="1:6" x14ac:dyDescent="0.3">
      <c r="A322" s="1" t="s">
        <v>29</v>
      </c>
      <c r="B322" s="1" t="s">
        <v>5</v>
      </c>
      <c r="C322" s="1">
        <v>12</v>
      </c>
      <c r="D322" s="1">
        <v>1714</v>
      </c>
      <c r="E322" s="1">
        <v>25710</v>
      </c>
      <c r="F322" s="90">
        <v>15</v>
      </c>
    </row>
    <row r="323" spans="1:6" x14ac:dyDescent="0.3">
      <c r="A323" s="1" t="s">
        <v>29</v>
      </c>
      <c r="B323" s="1" t="s">
        <v>5</v>
      </c>
      <c r="C323" s="1">
        <v>13</v>
      </c>
      <c r="D323" s="1">
        <v>21</v>
      </c>
      <c r="E323" s="1">
        <v>113.2</v>
      </c>
      <c r="F323" s="90">
        <v>5.39047619047619</v>
      </c>
    </row>
    <row r="324" spans="1:6" x14ac:dyDescent="0.3">
      <c r="A324" s="1" t="s">
        <v>29</v>
      </c>
      <c r="B324" s="1" t="s">
        <v>5</v>
      </c>
      <c r="C324" s="1">
        <v>14</v>
      </c>
      <c r="D324" s="1">
        <v>1</v>
      </c>
      <c r="E324" s="1">
        <v>22.5</v>
      </c>
      <c r="F324" s="90">
        <v>22.5</v>
      </c>
    </row>
    <row r="325" spans="1:6" x14ac:dyDescent="0.3">
      <c r="A325" s="1" t="s">
        <v>29</v>
      </c>
      <c r="B325" s="1" t="s">
        <v>5</v>
      </c>
      <c r="C325" s="1">
        <v>15</v>
      </c>
      <c r="D325" s="1">
        <v>134</v>
      </c>
      <c r="E325" s="1">
        <v>939.2</v>
      </c>
      <c r="F325" s="90">
        <v>7.0089552238805997</v>
      </c>
    </row>
    <row r="326" spans="1:6" x14ac:dyDescent="0.3">
      <c r="A326" s="1" t="s">
        <v>29</v>
      </c>
      <c r="B326" s="1" t="s">
        <v>5</v>
      </c>
      <c r="C326" s="1">
        <v>16</v>
      </c>
      <c r="D326" s="1">
        <v>2</v>
      </c>
      <c r="E326" s="1">
        <v>48</v>
      </c>
      <c r="F326" s="90">
        <v>24</v>
      </c>
    </row>
    <row r="327" spans="1:6" x14ac:dyDescent="0.3">
      <c r="A327" s="1" t="s">
        <v>30</v>
      </c>
      <c r="B327" s="1" t="s">
        <v>184</v>
      </c>
      <c r="C327" s="1">
        <v>0</v>
      </c>
      <c r="D327" s="1">
        <v>3</v>
      </c>
      <c r="E327" s="1">
        <v>0</v>
      </c>
      <c r="F327" s="90">
        <v>0</v>
      </c>
    </row>
    <row r="328" spans="1:6" x14ac:dyDescent="0.3">
      <c r="A328" s="1" t="s">
        <v>30</v>
      </c>
      <c r="B328" s="1" t="s">
        <v>184</v>
      </c>
      <c r="C328" s="1">
        <v>21</v>
      </c>
      <c r="D328" s="1">
        <v>42</v>
      </c>
      <c r="E328" s="1">
        <v>168</v>
      </c>
      <c r="F328" s="90">
        <v>4</v>
      </c>
    </row>
    <row r="329" spans="1:6" x14ac:dyDescent="0.3">
      <c r="A329" s="1" t="s">
        <v>30</v>
      </c>
      <c r="B329" s="1" t="s">
        <v>184</v>
      </c>
      <c r="C329" s="1">
        <v>22</v>
      </c>
      <c r="D329" s="1">
        <v>169</v>
      </c>
      <c r="E329" s="1">
        <v>676</v>
      </c>
      <c r="F329" s="90">
        <v>4</v>
      </c>
    </row>
    <row r="330" spans="1:6" x14ac:dyDescent="0.3">
      <c r="A330" s="1" t="s">
        <v>30</v>
      </c>
      <c r="B330" s="1" t="s">
        <v>184</v>
      </c>
      <c r="C330" s="1">
        <v>23</v>
      </c>
      <c r="D330" s="1">
        <v>4</v>
      </c>
      <c r="E330" s="1">
        <v>8</v>
      </c>
      <c r="F330" s="90">
        <v>2</v>
      </c>
    </row>
    <row r="331" spans="1:6" x14ac:dyDescent="0.3">
      <c r="A331" s="1" t="s">
        <v>30</v>
      </c>
      <c r="B331" s="1" t="s">
        <v>184</v>
      </c>
      <c r="C331" s="1">
        <v>25</v>
      </c>
      <c r="D331" s="1">
        <v>2</v>
      </c>
      <c r="E331" s="1">
        <v>6</v>
      </c>
      <c r="F331" s="90">
        <v>3</v>
      </c>
    </row>
    <row r="332" spans="1:6" x14ac:dyDescent="0.3">
      <c r="A332" s="1" t="s">
        <v>30</v>
      </c>
      <c r="B332" s="1" t="s">
        <v>184</v>
      </c>
      <c r="C332" s="1">
        <v>26</v>
      </c>
      <c r="D332" s="1">
        <v>3</v>
      </c>
      <c r="E332" s="1">
        <v>15</v>
      </c>
      <c r="F332" s="90">
        <v>5</v>
      </c>
    </row>
    <row r="333" spans="1:6" x14ac:dyDescent="0.3">
      <c r="A333" s="1" t="s">
        <v>30</v>
      </c>
      <c r="B333" s="1" t="s">
        <v>183</v>
      </c>
      <c r="C333" s="1">
        <v>0</v>
      </c>
      <c r="D333" s="1">
        <v>1</v>
      </c>
      <c r="E333" s="1">
        <v>0</v>
      </c>
      <c r="F333" s="90">
        <v>0</v>
      </c>
    </row>
    <row r="334" spans="1:6" x14ac:dyDescent="0.3">
      <c r="A334" s="1" t="s">
        <v>30</v>
      </c>
      <c r="B334" s="1" t="s">
        <v>183</v>
      </c>
      <c r="C334" s="1">
        <v>31</v>
      </c>
      <c r="D334" s="1">
        <v>134</v>
      </c>
      <c r="E334" s="1">
        <v>1072</v>
      </c>
      <c r="F334" s="90">
        <v>8</v>
      </c>
    </row>
    <row r="335" spans="1:6" x14ac:dyDescent="0.3">
      <c r="A335" s="1" t="s">
        <v>30</v>
      </c>
      <c r="B335" s="1" t="s">
        <v>183</v>
      </c>
      <c r="C335" s="1">
        <v>32</v>
      </c>
      <c r="D335" s="1">
        <v>514</v>
      </c>
      <c r="E335" s="1">
        <v>5140</v>
      </c>
      <c r="F335" s="90">
        <v>10</v>
      </c>
    </row>
    <row r="336" spans="1:6" x14ac:dyDescent="0.3">
      <c r="A336" s="1" t="s">
        <v>30</v>
      </c>
      <c r="B336" s="1" t="s">
        <v>183</v>
      </c>
      <c r="C336" s="1">
        <v>33</v>
      </c>
      <c r="D336" s="1">
        <v>5</v>
      </c>
      <c r="E336" s="1">
        <v>16</v>
      </c>
      <c r="F336" s="90">
        <v>3.2</v>
      </c>
    </row>
    <row r="337" spans="1:6" x14ac:dyDescent="0.3">
      <c r="A337" s="1" t="s">
        <v>30</v>
      </c>
      <c r="B337" s="1" t="s">
        <v>183</v>
      </c>
      <c r="C337" s="1">
        <v>35</v>
      </c>
      <c r="D337" s="1">
        <v>1</v>
      </c>
      <c r="E337" s="1">
        <v>5</v>
      </c>
      <c r="F337" s="90">
        <v>5</v>
      </c>
    </row>
    <row r="338" spans="1:6" x14ac:dyDescent="0.3">
      <c r="A338" s="1" t="s">
        <v>30</v>
      </c>
      <c r="B338" s="1" t="s">
        <v>159</v>
      </c>
      <c r="C338" s="1">
        <v>41</v>
      </c>
      <c r="D338" s="1">
        <v>3</v>
      </c>
      <c r="E338" s="1">
        <v>6</v>
      </c>
      <c r="F338" s="90">
        <v>2</v>
      </c>
    </row>
    <row r="339" spans="1:6" x14ac:dyDescent="0.3">
      <c r="A339" s="1" t="s">
        <v>30</v>
      </c>
      <c r="B339" s="1" t="s">
        <v>159</v>
      </c>
      <c r="C339" s="1">
        <v>42</v>
      </c>
      <c r="D339" s="1">
        <v>45</v>
      </c>
      <c r="E339" s="1">
        <v>90</v>
      </c>
      <c r="F339" s="90">
        <v>2</v>
      </c>
    </row>
    <row r="340" spans="1:6" x14ac:dyDescent="0.3">
      <c r="A340" s="1" t="s">
        <v>30</v>
      </c>
      <c r="B340" s="1" t="s">
        <v>5</v>
      </c>
      <c r="C340" s="1">
        <v>0</v>
      </c>
      <c r="D340" s="1">
        <v>2</v>
      </c>
      <c r="E340" s="1">
        <v>0</v>
      </c>
      <c r="F340" s="90">
        <v>0</v>
      </c>
    </row>
    <row r="341" spans="1:6" x14ac:dyDescent="0.3">
      <c r="A341" s="1" t="s">
        <v>30</v>
      </c>
      <c r="B341" s="1" t="s">
        <v>5</v>
      </c>
      <c r="C341" s="1">
        <v>11</v>
      </c>
      <c r="D341" s="1">
        <v>73</v>
      </c>
      <c r="E341" s="1">
        <v>876</v>
      </c>
      <c r="F341" s="90">
        <v>12</v>
      </c>
    </row>
    <row r="342" spans="1:6" x14ac:dyDescent="0.3">
      <c r="A342" s="1" t="s">
        <v>30</v>
      </c>
      <c r="B342" s="1" t="s">
        <v>5</v>
      </c>
      <c r="C342" s="1">
        <v>12</v>
      </c>
      <c r="D342" s="1">
        <v>201</v>
      </c>
      <c r="E342" s="1">
        <v>4422</v>
      </c>
      <c r="F342" s="90">
        <v>22</v>
      </c>
    </row>
    <row r="343" spans="1:6" x14ac:dyDescent="0.3">
      <c r="A343" s="1" t="s">
        <v>30</v>
      </c>
      <c r="B343" s="1" t="s">
        <v>5</v>
      </c>
      <c r="C343" s="1">
        <v>13</v>
      </c>
      <c r="D343" s="1">
        <v>1</v>
      </c>
      <c r="E343" s="1">
        <v>9</v>
      </c>
      <c r="F343" s="90">
        <v>9</v>
      </c>
    </row>
    <row r="344" spans="1:6" x14ac:dyDescent="0.3">
      <c r="A344" s="1" t="s">
        <v>30</v>
      </c>
      <c r="B344" s="1" t="s">
        <v>5</v>
      </c>
      <c r="C344" s="1">
        <v>15</v>
      </c>
      <c r="D344" s="1">
        <v>22</v>
      </c>
      <c r="E344" s="1">
        <v>234.3</v>
      </c>
      <c r="F344" s="90">
        <v>10.65</v>
      </c>
    </row>
    <row r="345" spans="1:6" x14ac:dyDescent="0.3">
      <c r="A345" s="1" t="s">
        <v>31</v>
      </c>
      <c r="B345" s="1" t="s">
        <v>184</v>
      </c>
      <c r="C345" s="1">
        <v>0</v>
      </c>
      <c r="D345" s="1">
        <v>3</v>
      </c>
      <c r="E345" s="1">
        <v>0</v>
      </c>
      <c r="F345" s="90">
        <v>0</v>
      </c>
    </row>
    <row r="346" spans="1:6" x14ac:dyDescent="0.3">
      <c r="A346" s="1" t="s">
        <v>31</v>
      </c>
      <c r="B346" s="1" t="s">
        <v>184</v>
      </c>
      <c r="C346" s="1">
        <v>21</v>
      </c>
      <c r="D346" s="1">
        <v>1</v>
      </c>
      <c r="E346" s="1">
        <v>4</v>
      </c>
      <c r="F346" s="90">
        <v>4</v>
      </c>
    </row>
    <row r="347" spans="1:6" x14ac:dyDescent="0.3">
      <c r="A347" s="1" t="s">
        <v>31</v>
      </c>
      <c r="B347" s="1" t="s">
        <v>184</v>
      </c>
      <c r="C347" s="1">
        <v>22</v>
      </c>
      <c r="D347" s="1">
        <v>13</v>
      </c>
      <c r="E347" s="1">
        <v>52</v>
      </c>
      <c r="F347" s="90">
        <v>4</v>
      </c>
    </row>
    <row r="348" spans="1:6" x14ac:dyDescent="0.3">
      <c r="A348" s="1" t="s">
        <v>31</v>
      </c>
      <c r="B348" s="1" t="s">
        <v>183</v>
      </c>
      <c r="C348" s="1">
        <v>31</v>
      </c>
      <c r="D348" s="1">
        <v>2</v>
      </c>
      <c r="E348" s="1">
        <v>16</v>
      </c>
      <c r="F348" s="90">
        <v>8</v>
      </c>
    </row>
    <row r="349" spans="1:6" x14ac:dyDescent="0.3">
      <c r="A349" s="1" t="s">
        <v>31</v>
      </c>
      <c r="B349" s="1" t="s">
        <v>183</v>
      </c>
      <c r="C349" s="1">
        <v>32</v>
      </c>
      <c r="D349" s="1">
        <v>32</v>
      </c>
      <c r="E349" s="1">
        <v>320</v>
      </c>
      <c r="F349" s="90">
        <v>10</v>
      </c>
    </row>
    <row r="350" spans="1:6" x14ac:dyDescent="0.3">
      <c r="A350" s="1" t="s">
        <v>31</v>
      </c>
      <c r="B350" s="1" t="s">
        <v>159</v>
      </c>
      <c r="C350" s="1">
        <v>42</v>
      </c>
      <c r="D350" s="1">
        <v>12</v>
      </c>
      <c r="E350" s="1">
        <v>24</v>
      </c>
      <c r="F350" s="90">
        <v>2</v>
      </c>
    </row>
    <row r="351" spans="1:6" x14ac:dyDescent="0.3">
      <c r="A351" s="1" t="s">
        <v>31</v>
      </c>
      <c r="B351" s="1" t="s">
        <v>5</v>
      </c>
      <c r="C351" s="1">
        <v>0</v>
      </c>
      <c r="D351" s="1">
        <v>3</v>
      </c>
      <c r="E351" s="1">
        <v>0</v>
      </c>
      <c r="F351" s="90">
        <v>0</v>
      </c>
    </row>
    <row r="352" spans="1:6" x14ac:dyDescent="0.3">
      <c r="A352" s="1" t="s">
        <v>31</v>
      </c>
      <c r="B352" s="1" t="s">
        <v>5</v>
      </c>
      <c r="C352" s="1">
        <v>10</v>
      </c>
      <c r="D352" s="1">
        <v>2</v>
      </c>
      <c r="E352" s="1">
        <v>0</v>
      </c>
      <c r="F352" s="90">
        <v>0</v>
      </c>
    </row>
    <row r="353" spans="1:6" x14ac:dyDescent="0.3">
      <c r="A353" s="1" t="s">
        <v>31</v>
      </c>
      <c r="B353" s="1" t="s">
        <v>5</v>
      </c>
      <c r="C353" s="1">
        <v>11</v>
      </c>
      <c r="D353" s="1">
        <v>7</v>
      </c>
      <c r="E353" s="1">
        <v>35</v>
      </c>
      <c r="F353" s="90">
        <v>5</v>
      </c>
    </row>
    <row r="354" spans="1:6" x14ac:dyDescent="0.3">
      <c r="A354" s="1" t="s">
        <v>31</v>
      </c>
      <c r="B354" s="1" t="s">
        <v>5</v>
      </c>
      <c r="C354" s="1">
        <v>12</v>
      </c>
      <c r="D354" s="1">
        <v>62</v>
      </c>
      <c r="E354" s="1">
        <v>930</v>
      </c>
      <c r="F354" s="90">
        <v>15</v>
      </c>
    </row>
    <row r="355" spans="1:6" x14ac:dyDescent="0.3">
      <c r="A355" s="1" t="s">
        <v>31</v>
      </c>
      <c r="B355" s="1" t="s">
        <v>5</v>
      </c>
      <c r="C355" s="1">
        <v>14</v>
      </c>
      <c r="D355" s="1">
        <v>1</v>
      </c>
      <c r="E355" s="1">
        <v>6.8</v>
      </c>
      <c r="F355" s="90">
        <v>6.8</v>
      </c>
    </row>
    <row r="356" spans="1:6" x14ac:dyDescent="0.3">
      <c r="A356" s="1" t="s">
        <v>31</v>
      </c>
      <c r="B356" s="1" t="s">
        <v>5</v>
      </c>
      <c r="C356" s="1">
        <v>15</v>
      </c>
      <c r="D356" s="1">
        <v>19</v>
      </c>
      <c r="E356" s="1">
        <v>143.69999999999999</v>
      </c>
      <c r="F356" s="90">
        <v>7.5631578947368396</v>
      </c>
    </row>
    <row r="357" spans="1:6" x14ac:dyDescent="0.3">
      <c r="A357" s="1" t="s">
        <v>32</v>
      </c>
      <c r="B357" s="1" t="s">
        <v>184</v>
      </c>
      <c r="C357" s="1">
        <v>0</v>
      </c>
      <c r="D357" s="1">
        <v>15</v>
      </c>
      <c r="E357" s="1">
        <v>0</v>
      </c>
      <c r="F357" s="90">
        <v>0</v>
      </c>
    </row>
    <row r="358" spans="1:6" x14ac:dyDescent="0.3">
      <c r="A358" s="1" t="s">
        <v>32</v>
      </c>
      <c r="B358" s="1" t="s">
        <v>184</v>
      </c>
      <c r="C358" s="1">
        <v>21</v>
      </c>
      <c r="D358" s="1">
        <v>112</v>
      </c>
      <c r="E358" s="1">
        <v>448</v>
      </c>
      <c r="F358" s="90">
        <v>4</v>
      </c>
    </row>
    <row r="359" spans="1:6" x14ac:dyDescent="0.3">
      <c r="A359" s="1" t="s">
        <v>32</v>
      </c>
      <c r="B359" s="1" t="s">
        <v>184</v>
      </c>
      <c r="C359" s="1">
        <v>22</v>
      </c>
      <c r="D359" s="1">
        <v>424</v>
      </c>
      <c r="E359" s="1">
        <v>1696</v>
      </c>
      <c r="F359" s="90">
        <v>4</v>
      </c>
    </row>
    <row r="360" spans="1:6" x14ac:dyDescent="0.3">
      <c r="A360" s="1" t="s">
        <v>32</v>
      </c>
      <c r="B360" s="1" t="s">
        <v>184</v>
      </c>
      <c r="C360" s="1">
        <v>23</v>
      </c>
      <c r="D360" s="1">
        <v>2</v>
      </c>
      <c r="E360" s="1">
        <v>6</v>
      </c>
      <c r="F360" s="90">
        <v>3</v>
      </c>
    </row>
    <row r="361" spans="1:6" x14ac:dyDescent="0.3">
      <c r="A361" s="1" t="s">
        <v>32</v>
      </c>
      <c r="B361" s="1" t="s">
        <v>184</v>
      </c>
      <c r="C361" s="1">
        <v>25</v>
      </c>
      <c r="D361" s="1">
        <v>3</v>
      </c>
      <c r="E361" s="1">
        <v>6</v>
      </c>
      <c r="F361" s="90">
        <v>2</v>
      </c>
    </row>
    <row r="362" spans="1:6" x14ac:dyDescent="0.3">
      <c r="A362" s="1" t="s">
        <v>32</v>
      </c>
      <c r="B362" s="1" t="s">
        <v>184</v>
      </c>
      <c r="C362" s="1">
        <v>26</v>
      </c>
      <c r="D362" s="1">
        <v>4</v>
      </c>
      <c r="E362" s="1">
        <v>26.2</v>
      </c>
      <c r="F362" s="90">
        <v>6.55</v>
      </c>
    </row>
    <row r="363" spans="1:6" x14ac:dyDescent="0.3">
      <c r="A363" s="1" t="s">
        <v>32</v>
      </c>
      <c r="B363" s="1" t="s">
        <v>183</v>
      </c>
      <c r="C363" s="1">
        <v>0</v>
      </c>
      <c r="D363" s="1">
        <v>6</v>
      </c>
      <c r="E363" s="1">
        <v>0</v>
      </c>
      <c r="F363" s="90">
        <v>0</v>
      </c>
    </row>
    <row r="364" spans="1:6" x14ac:dyDescent="0.3">
      <c r="A364" s="1" t="s">
        <v>32</v>
      </c>
      <c r="B364" s="1" t="s">
        <v>183</v>
      </c>
      <c r="C364" s="1">
        <v>31</v>
      </c>
      <c r="D364" s="1">
        <v>255</v>
      </c>
      <c r="E364" s="1">
        <v>2040</v>
      </c>
      <c r="F364" s="90">
        <v>8</v>
      </c>
    </row>
    <row r="365" spans="1:6" x14ac:dyDescent="0.3">
      <c r="A365" s="1" t="s">
        <v>32</v>
      </c>
      <c r="B365" s="1" t="s">
        <v>183</v>
      </c>
      <c r="C365" s="1">
        <v>32</v>
      </c>
      <c r="D365" s="1">
        <v>1088</v>
      </c>
      <c r="E365" s="1">
        <v>10880</v>
      </c>
      <c r="F365" s="90">
        <v>10</v>
      </c>
    </row>
    <row r="366" spans="1:6" x14ac:dyDescent="0.3">
      <c r="A366" s="1" t="s">
        <v>32</v>
      </c>
      <c r="B366" s="1" t="s">
        <v>183</v>
      </c>
      <c r="C366" s="1">
        <v>35</v>
      </c>
      <c r="D366" s="1">
        <v>8</v>
      </c>
      <c r="E366" s="1">
        <v>42.5</v>
      </c>
      <c r="F366" s="90">
        <v>5.3125</v>
      </c>
    </row>
    <row r="367" spans="1:6" x14ac:dyDescent="0.3">
      <c r="A367" s="1" t="s">
        <v>32</v>
      </c>
      <c r="B367" s="1" t="s">
        <v>159</v>
      </c>
      <c r="C367" s="1">
        <v>41</v>
      </c>
      <c r="D367" s="1">
        <v>3</v>
      </c>
      <c r="E367" s="1">
        <v>6</v>
      </c>
      <c r="F367" s="90">
        <v>2</v>
      </c>
    </row>
    <row r="368" spans="1:6" x14ac:dyDescent="0.3">
      <c r="A368" s="1" t="s">
        <v>32</v>
      </c>
      <c r="B368" s="1" t="s">
        <v>159</v>
      </c>
      <c r="C368" s="1">
        <v>42</v>
      </c>
      <c r="D368" s="1">
        <v>135</v>
      </c>
      <c r="E368" s="1">
        <v>270</v>
      </c>
      <c r="F368" s="90">
        <v>2</v>
      </c>
    </row>
    <row r="369" spans="1:6" x14ac:dyDescent="0.3">
      <c r="A369" s="1" t="s">
        <v>32</v>
      </c>
      <c r="B369" s="1" t="s">
        <v>5</v>
      </c>
      <c r="C369" s="1">
        <v>0</v>
      </c>
      <c r="D369" s="1">
        <v>18</v>
      </c>
      <c r="E369" s="1">
        <v>0</v>
      </c>
      <c r="F369" s="90">
        <v>0</v>
      </c>
    </row>
    <row r="370" spans="1:6" x14ac:dyDescent="0.3">
      <c r="A370" s="1" t="s">
        <v>32</v>
      </c>
      <c r="B370" s="1" t="s">
        <v>5</v>
      </c>
      <c r="C370" s="1">
        <v>10</v>
      </c>
      <c r="D370" s="1">
        <v>13</v>
      </c>
      <c r="E370" s="1">
        <v>0</v>
      </c>
      <c r="F370" s="90">
        <v>0</v>
      </c>
    </row>
    <row r="371" spans="1:6" x14ac:dyDescent="0.3">
      <c r="A371" s="1" t="s">
        <v>32</v>
      </c>
      <c r="B371" s="1" t="s">
        <v>5</v>
      </c>
      <c r="C371" s="1">
        <v>11</v>
      </c>
      <c r="D371" s="1">
        <v>169</v>
      </c>
      <c r="E371" s="1">
        <v>1521</v>
      </c>
      <c r="F371" s="90">
        <v>9</v>
      </c>
    </row>
    <row r="372" spans="1:6" x14ac:dyDescent="0.3">
      <c r="A372" s="1" t="s">
        <v>32</v>
      </c>
      <c r="B372" s="1" t="s">
        <v>5</v>
      </c>
      <c r="C372" s="1">
        <v>12</v>
      </c>
      <c r="D372" s="1">
        <v>566</v>
      </c>
      <c r="E372" s="1">
        <v>8490</v>
      </c>
      <c r="F372" s="90">
        <v>15</v>
      </c>
    </row>
    <row r="373" spans="1:6" x14ac:dyDescent="0.3">
      <c r="A373" s="1" t="s">
        <v>32</v>
      </c>
      <c r="B373" s="1" t="s">
        <v>5</v>
      </c>
      <c r="C373" s="1">
        <v>13</v>
      </c>
      <c r="D373" s="1">
        <v>13</v>
      </c>
      <c r="E373" s="1">
        <v>80.8</v>
      </c>
      <c r="F373" s="90">
        <v>6.2153846153846102</v>
      </c>
    </row>
    <row r="374" spans="1:6" x14ac:dyDescent="0.3">
      <c r="A374" s="1" t="s">
        <v>32</v>
      </c>
      <c r="B374" s="1" t="s">
        <v>5</v>
      </c>
      <c r="C374" s="1">
        <v>14</v>
      </c>
      <c r="D374" s="1">
        <v>1</v>
      </c>
      <c r="E374" s="1">
        <v>11.2</v>
      </c>
      <c r="F374" s="90">
        <v>11.2</v>
      </c>
    </row>
    <row r="375" spans="1:6" x14ac:dyDescent="0.3">
      <c r="A375" s="1" t="s">
        <v>32</v>
      </c>
      <c r="B375" s="1" t="s">
        <v>5</v>
      </c>
      <c r="C375" s="1">
        <v>15</v>
      </c>
      <c r="D375" s="1">
        <v>145</v>
      </c>
      <c r="E375" s="1">
        <v>740.5</v>
      </c>
      <c r="F375" s="90">
        <v>5.10689655172414</v>
      </c>
    </row>
    <row r="376" spans="1:6" x14ac:dyDescent="0.3">
      <c r="A376" s="1" t="s">
        <v>32</v>
      </c>
      <c r="B376" s="1" t="s">
        <v>5</v>
      </c>
      <c r="C376" s="1">
        <v>16</v>
      </c>
      <c r="D376" s="1">
        <v>2</v>
      </c>
      <c r="E376" s="1">
        <v>46.5</v>
      </c>
      <c r="F376" s="90">
        <v>23.25</v>
      </c>
    </row>
    <row r="377" spans="1:6" x14ac:dyDescent="0.3">
      <c r="A377" s="1" t="s">
        <v>33</v>
      </c>
      <c r="B377" s="1" t="s">
        <v>184</v>
      </c>
      <c r="C377" s="1">
        <v>0</v>
      </c>
      <c r="D377" s="1">
        <v>1</v>
      </c>
      <c r="E377" s="1">
        <v>0</v>
      </c>
      <c r="F377" s="90">
        <v>0</v>
      </c>
    </row>
    <row r="378" spans="1:6" x14ac:dyDescent="0.3">
      <c r="A378" s="1" t="s">
        <v>33</v>
      </c>
      <c r="B378" s="1" t="s">
        <v>184</v>
      </c>
      <c r="C378" s="1">
        <v>21</v>
      </c>
      <c r="D378" s="1">
        <v>2</v>
      </c>
      <c r="E378" s="1">
        <v>8</v>
      </c>
      <c r="F378" s="90">
        <v>4</v>
      </c>
    </row>
    <row r="379" spans="1:6" x14ac:dyDescent="0.3">
      <c r="A379" s="1" t="s">
        <v>33</v>
      </c>
      <c r="B379" s="1" t="s">
        <v>184</v>
      </c>
      <c r="C379" s="1">
        <v>22</v>
      </c>
      <c r="D379" s="1">
        <v>3</v>
      </c>
      <c r="E379" s="1">
        <v>12</v>
      </c>
      <c r="F379" s="90">
        <v>4</v>
      </c>
    </row>
    <row r="380" spans="1:6" x14ac:dyDescent="0.3">
      <c r="A380" s="1" t="s">
        <v>33</v>
      </c>
      <c r="B380" s="1" t="s">
        <v>183</v>
      </c>
      <c r="C380" s="1">
        <v>31</v>
      </c>
      <c r="D380" s="1">
        <v>1</v>
      </c>
      <c r="E380" s="1">
        <v>8</v>
      </c>
      <c r="F380" s="90">
        <v>8</v>
      </c>
    </row>
    <row r="381" spans="1:6" x14ac:dyDescent="0.3">
      <c r="A381" s="1" t="s">
        <v>33</v>
      </c>
      <c r="B381" s="1" t="s">
        <v>183</v>
      </c>
      <c r="C381" s="1">
        <v>32</v>
      </c>
      <c r="D381" s="1">
        <v>6</v>
      </c>
      <c r="E381" s="1">
        <v>60</v>
      </c>
      <c r="F381" s="90">
        <v>10</v>
      </c>
    </row>
    <row r="382" spans="1:6" x14ac:dyDescent="0.3">
      <c r="A382" s="1" t="s">
        <v>33</v>
      </c>
      <c r="B382" s="1" t="s">
        <v>159</v>
      </c>
      <c r="C382" s="1">
        <v>42</v>
      </c>
      <c r="D382" s="1">
        <v>1</v>
      </c>
      <c r="E382" s="1">
        <v>2</v>
      </c>
      <c r="F382" s="90">
        <v>2</v>
      </c>
    </row>
    <row r="383" spans="1:6" x14ac:dyDescent="0.3">
      <c r="A383" s="1" t="s">
        <v>33</v>
      </c>
      <c r="B383" s="1" t="s">
        <v>5</v>
      </c>
      <c r="C383" s="1">
        <v>10</v>
      </c>
      <c r="D383" s="1">
        <v>2</v>
      </c>
      <c r="E383" s="1">
        <v>0</v>
      </c>
      <c r="F383" s="90">
        <v>0</v>
      </c>
    </row>
    <row r="384" spans="1:6" x14ac:dyDescent="0.3">
      <c r="A384" s="1" t="s">
        <v>33</v>
      </c>
      <c r="B384" s="1" t="s">
        <v>5</v>
      </c>
      <c r="C384" s="1">
        <v>11</v>
      </c>
      <c r="D384" s="1">
        <v>4</v>
      </c>
      <c r="E384" s="1">
        <v>36</v>
      </c>
      <c r="F384" s="90">
        <v>9</v>
      </c>
    </row>
    <row r="385" spans="1:6" x14ac:dyDescent="0.3">
      <c r="A385" s="1" t="s">
        <v>33</v>
      </c>
      <c r="B385" s="1" t="s">
        <v>5</v>
      </c>
      <c r="C385" s="1">
        <v>12</v>
      </c>
      <c r="D385" s="1">
        <v>18</v>
      </c>
      <c r="E385" s="1">
        <v>342</v>
      </c>
      <c r="F385" s="90">
        <v>19</v>
      </c>
    </row>
    <row r="386" spans="1:6" x14ac:dyDescent="0.3">
      <c r="A386" s="1" t="s">
        <v>34</v>
      </c>
      <c r="B386" s="1" t="s">
        <v>184</v>
      </c>
      <c r="C386" s="1">
        <v>0</v>
      </c>
      <c r="D386" s="1">
        <v>4</v>
      </c>
      <c r="E386" s="1">
        <v>0</v>
      </c>
      <c r="F386" s="90">
        <v>0</v>
      </c>
    </row>
    <row r="387" spans="1:6" x14ac:dyDescent="0.3">
      <c r="A387" s="1" t="s">
        <v>34</v>
      </c>
      <c r="B387" s="1" t="s">
        <v>184</v>
      </c>
      <c r="C387" s="1">
        <v>21</v>
      </c>
      <c r="D387" s="1">
        <v>4</v>
      </c>
      <c r="E387" s="1">
        <v>16</v>
      </c>
      <c r="F387" s="90">
        <v>4</v>
      </c>
    </row>
    <row r="388" spans="1:6" x14ac:dyDescent="0.3">
      <c r="A388" s="1" t="s">
        <v>34</v>
      </c>
      <c r="B388" s="1" t="s">
        <v>184</v>
      </c>
      <c r="C388" s="1">
        <v>22</v>
      </c>
      <c r="D388" s="1">
        <v>6</v>
      </c>
      <c r="E388" s="1">
        <v>24</v>
      </c>
      <c r="F388" s="90">
        <v>4</v>
      </c>
    </row>
    <row r="389" spans="1:6" x14ac:dyDescent="0.3">
      <c r="A389" s="1" t="s">
        <v>34</v>
      </c>
      <c r="B389" s="1" t="s">
        <v>183</v>
      </c>
      <c r="C389" s="1">
        <v>31</v>
      </c>
      <c r="D389" s="1">
        <v>9</v>
      </c>
      <c r="E389" s="1">
        <v>72</v>
      </c>
      <c r="F389" s="90">
        <v>8</v>
      </c>
    </row>
    <row r="390" spans="1:6" x14ac:dyDescent="0.3">
      <c r="A390" s="1" t="s">
        <v>34</v>
      </c>
      <c r="B390" s="1" t="s">
        <v>183</v>
      </c>
      <c r="C390" s="1">
        <v>32</v>
      </c>
      <c r="D390" s="1">
        <v>9</v>
      </c>
      <c r="E390" s="1">
        <v>90</v>
      </c>
      <c r="F390" s="90">
        <v>10</v>
      </c>
    </row>
    <row r="391" spans="1:6" x14ac:dyDescent="0.3">
      <c r="A391" s="1" t="s">
        <v>34</v>
      </c>
      <c r="B391" s="1" t="s">
        <v>159</v>
      </c>
      <c r="C391" s="1">
        <v>42</v>
      </c>
      <c r="D391" s="1">
        <v>4</v>
      </c>
      <c r="E391" s="1">
        <v>8</v>
      </c>
      <c r="F391" s="90">
        <v>2</v>
      </c>
    </row>
    <row r="392" spans="1:6" x14ac:dyDescent="0.3">
      <c r="A392" s="1" t="s">
        <v>34</v>
      </c>
      <c r="B392" s="1" t="s">
        <v>5</v>
      </c>
      <c r="C392" s="1">
        <v>0</v>
      </c>
      <c r="D392" s="1">
        <v>3</v>
      </c>
      <c r="E392" s="1">
        <v>0</v>
      </c>
      <c r="F392" s="90">
        <v>0</v>
      </c>
    </row>
    <row r="393" spans="1:6" x14ac:dyDescent="0.3">
      <c r="A393" s="1" t="s">
        <v>34</v>
      </c>
      <c r="B393" s="1" t="s">
        <v>5</v>
      </c>
      <c r="C393" s="1">
        <v>11</v>
      </c>
      <c r="D393" s="1">
        <v>5</v>
      </c>
      <c r="E393" s="1">
        <v>45</v>
      </c>
      <c r="F393" s="90">
        <v>9</v>
      </c>
    </row>
    <row r="394" spans="1:6" x14ac:dyDescent="0.3">
      <c r="A394" s="1" t="s">
        <v>34</v>
      </c>
      <c r="B394" s="1" t="s">
        <v>5</v>
      </c>
      <c r="C394" s="1">
        <v>12</v>
      </c>
      <c r="D394" s="1">
        <v>64</v>
      </c>
      <c r="E394" s="1">
        <v>704</v>
      </c>
      <c r="F394" s="90">
        <v>11</v>
      </c>
    </row>
    <row r="395" spans="1:6" x14ac:dyDescent="0.3">
      <c r="A395" s="1" t="s">
        <v>35</v>
      </c>
      <c r="B395" s="1" t="s">
        <v>184</v>
      </c>
      <c r="C395" s="1">
        <v>21</v>
      </c>
      <c r="D395" s="1">
        <v>4</v>
      </c>
      <c r="E395" s="1">
        <v>16</v>
      </c>
      <c r="F395" s="90">
        <v>4</v>
      </c>
    </row>
    <row r="396" spans="1:6" x14ac:dyDescent="0.3">
      <c r="A396" s="1" t="s">
        <v>35</v>
      </c>
      <c r="B396" s="1" t="s">
        <v>184</v>
      </c>
      <c r="C396" s="1">
        <v>22</v>
      </c>
      <c r="D396" s="1">
        <v>7</v>
      </c>
      <c r="E396" s="1">
        <v>28</v>
      </c>
      <c r="F396" s="90">
        <v>4</v>
      </c>
    </row>
    <row r="397" spans="1:6" x14ac:dyDescent="0.3">
      <c r="A397" s="1" t="s">
        <v>35</v>
      </c>
      <c r="B397" s="1" t="s">
        <v>184</v>
      </c>
      <c r="C397" s="1">
        <v>26</v>
      </c>
      <c r="D397" s="1">
        <v>1</v>
      </c>
      <c r="E397" s="1">
        <v>7.5</v>
      </c>
      <c r="F397" s="90">
        <v>7.5</v>
      </c>
    </row>
    <row r="398" spans="1:6" x14ac:dyDescent="0.3">
      <c r="A398" s="1" t="s">
        <v>35</v>
      </c>
      <c r="B398" s="1" t="s">
        <v>183</v>
      </c>
      <c r="C398" s="1">
        <v>31</v>
      </c>
      <c r="D398" s="1">
        <v>1</v>
      </c>
      <c r="E398" s="1">
        <v>8</v>
      </c>
      <c r="F398" s="90">
        <v>8</v>
      </c>
    </row>
    <row r="399" spans="1:6" x14ac:dyDescent="0.3">
      <c r="A399" s="1" t="s">
        <v>35</v>
      </c>
      <c r="B399" s="1" t="s">
        <v>183</v>
      </c>
      <c r="C399" s="1">
        <v>32</v>
      </c>
      <c r="D399" s="1">
        <v>11</v>
      </c>
      <c r="E399" s="1">
        <v>110</v>
      </c>
      <c r="F399" s="90">
        <v>10</v>
      </c>
    </row>
    <row r="400" spans="1:6" x14ac:dyDescent="0.3">
      <c r="A400" s="1" t="s">
        <v>35</v>
      </c>
      <c r="B400" s="1" t="s">
        <v>183</v>
      </c>
      <c r="C400" s="1">
        <v>35</v>
      </c>
      <c r="D400" s="1">
        <v>1</v>
      </c>
      <c r="E400" s="1">
        <v>7.5</v>
      </c>
      <c r="F400" s="90">
        <v>7.5</v>
      </c>
    </row>
    <row r="401" spans="1:6" x14ac:dyDescent="0.3">
      <c r="A401" s="1" t="s">
        <v>35</v>
      </c>
      <c r="B401" s="1" t="s">
        <v>5</v>
      </c>
      <c r="C401" s="1">
        <v>0</v>
      </c>
      <c r="D401" s="1">
        <v>7</v>
      </c>
      <c r="E401" s="1">
        <v>0</v>
      </c>
      <c r="F401" s="90">
        <v>0</v>
      </c>
    </row>
    <row r="402" spans="1:6" x14ac:dyDescent="0.3">
      <c r="A402" s="1" t="s">
        <v>35</v>
      </c>
      <c r="B402" s="1" t="s">
        <v>5</v>
      </c>
      <c r="C402" s="1">
        <v>11</v>
      </c>
      <c r="D402" s="1">
        <v>27</v>
      </c>
      <c r="E402" s="1">
        <v>297</v>
      </c>
      <c r="F402" s="90">
        <v>11</v>
      </c>
    </row>
    <row r="403" spans="1:6" x14ac:dyDescent="0.3">
      <c r="A403" s="1" t="s">
        <v>35</v>
      </c>
      <c r="B403" s="1" t="s">
        <v>5</v>
      </c>
      <c r="C403" s="1">
        <v>12</v>
      </c>
      <c r="D403" s="1">
        <v>61</v>
      </c>
      <c r="E403" s="1">
        <v>976</v>
      </c>
      <c r="F403" s="90">
        <v>16</v>
      </c>
    </row>
    <row r="404" spans="1:6" x14ac:dyDescent="0.3">
      <c r="A404" s="1" t="s">
        <v>35</v>
      </c>
      <c r="B404" s="1" t="s">
        <v>5</v>
      </c>
      <c r="C404" s="1">
        <v>13</v>
      </c>
      <c r="D404" s="1">
        <v>8</v>
      </c>
      <c r="E404" s="1">
        <v>65.8</v>
      </c>
      <c r="F404" s="90">
        <v>8.2249999999999996</v>
      </c>
    </row>
    <row r="405" spans="1:6" x14ac:dyDescent="0.3">
      <c r="A405" s="1" t="s">
        <v>35</v>
      </c>
      <c r="B405" s="1" t="s">
        <v>5</v>
      </c>
      <c r="C405" s="1">
        <v>15</v>
      </c>
      <c r="D405" s="1">
        <v>10</v>
      </c>
      <c r="E405" s="1">
        <v>120</v>
      </c>
      <c r="F405" s="90">
        <v>12</v>
      </c>
    </row>
    <row r="406" spans="1:6" x14ac:dyDescent="0.3">
      <c r="A406" s="1" t="s">
        <v>35</v>
      </c>
      <c r="B406" s="1" t="s">
        <v>5</v>
      </c>
      <c r="C406" s="1">
        <v>16</v>
      </c>
      <c r="D406" s="1">
        <v>1</v>
      </c>
      <c r="E406" s="1">
        <v>24</v>
      </c>
      <c r="F406" s="90">
        <v>24</v>
      </c>
    </row>
    <row r="407" spans="1:6" x14ac:dyDescent="0.3">
      <c r="A407" s="1" t="s">
        <v>36</v>
      </c>
      <c r="B407" s="1" t="s">
        <v>183</v>
      </c>
      <c r="C407" s="1">
        <v>31</v>
      </c>
      <c r="D407" s="1">
        <v>3</v>
      </c>
      <c r="E407" s="1">
        <v>24</v>
      </c>
      <c r="F407" s="90">
        <v>8</v>
      </c>
    </row>
    <row r="408" spans="1:6" x14ac:dyDescent="0.3">
      <c r="A408" s="1" t="s">
        <v>36</v>
      </c>
      <c r="B408" s="1" t="s">
        <v>183</v>
      </c>
      <c r="C408" s="1">
        <v>32</v>
      </c>
      <c r="D408" s="1">
        <v>5</v>
      </c>
      <c r="E408" s="1">
        <v>50</v>
      </c>
      <c r="F408" s="90">
        <v>10</v>
      </c>
    </row>
    <row r="409" spans="1:6" x14ac:dyDescent="0.3">
      <c r="A409" s="1" t="s">
        <v>36</v>
      </c>
      <c r="B409" s="1" t="s">
        <v>159</v>
      </c>
      <c r="C409" s="1">
        <v>42</v>
      </c>
      <c r="D409" s="1">
        <v>1</v>
      </c>
      <c r="E409" s="1">
        <v>2</v>
      </c>
      <c r="F409" s="90">
        <v>2</v>
      </c>
    </row>
    <row r="410" spans="1:6" x14ac:dyDescent="0.3">
      <c r="A410" s="1" t="s">
        <v>36</v>
      </c>
      <c r="B410" s="1" t="s">
        <v>5</v>
      </c>
      <c r="C410" s="1">
        <v>0</v>
      </c>
      <c r="D410" s="1">
        <v>2</v>
      </c>
      <c r="E410" s="1">
        <v>0</v>
      </c>
      <c r="F410" s="90">
        <v>0</v>
      </c>
    </row>
    <row r="411" spans="1:6" x14ac:dyDescent="0.3">
      <c r="A411" s="1" t="s">
        <v>36</v>
      </c>
      <c r="B411" s="1" t="s">
        <v>5</v>
      </c>
      <c r="C411" s="1">
        <v>11</v>
      </c>
      <c r="D411" s="1">
        <v>9</v>
      </c>
      <c r="E411" s="1">
        <v>90</v>
      </c>
      <c r="F411" s="90">
        <v>10</v>
      </c>
    </row>
    <row r="412" spans="1:6" x14ac:dyDescent="0.3">
      <c r="A412" s="1" t="s">
        <v>36</v>
      </c>
      <c r="B412" s="1" t="s">
        <v>5</v>
      </c>
      <c r="C412" s="1">
        <v>12</v>
      </c>
      <c r="D412" s="1">
        <v>32</v>
      </c>
      <c r="E412" s="1">
        <v>544</v>
      </c>
      <c r="F412" s="90">
        <v>17</v>
      </c>
    </row>
    <row r="413" spans="1:6" x14ac:dyDescent="0.3">
      <c r="A413" s="1" t="s">
        <v>37</v>
      </c>
      <c r="B413" s="1" t="s">
        <v>185</v>
      </c>
      <c r="C413" s="1">
        <v>50</v>
      </c>
      <c r="D413" s="1">
        <v>6</v>
      </c>
      <c r="E413" s="1">
        <v>30</v>
      </c>
      <c r="F413" s="90">
        <v>5</v>
      </c>
    </row>
    <row r="414" spans="1:6" x14ac:dyDescent="0.3">
      <c r="A414" s="1" t="s">
        <v>417</v>
      </c>
      <c r="B414" s="1" t="s">
        <v>185</v>
      </c>
      <c r="C414" s="1">
        <v>50</v>
      </c>
      <c r="D414" s="1">
        <v>1</v>
      </c>
      <c r="E414" s="1">
        <v>5</v>
      </c>
      <c r="F414" s="90">
        <v>5</v>
      </c>
    </row>
    <row r="415" spans="1:6" x14ac:dyDescent="0.3">
      <c r="A415" s="1" t="s">
        <v>38</v>
      </c>
      <c r="B415" s="1" t="s">
        <v>185</v>
      </c>
      <c r="C415" s="1">
        <v>50</v>
      </c>
      <c r="D415" s="1">
        <v>6</v>
      </c>
      <c r="E415" s="1">
        <v>30</v>
      </c>
      <c r="F415" s="90">
        <v>5</v>
      </c>
    </row>
    <row r="416" spans="1:6" x14ac:dyDescent="0.3">
      <c r="A416" s="1" t="s">
        <v>418</v>
      </c>
      <c r="B416" s="1" t="s">
        <v>185</v>
      </c>
      <c r="C416" s="1">
        <v>50</v>
      </c>
      <c r="D416" s="1">
        <v>1</v>
      </c>
      <c r="E416" s="1">
        <v>5</v>
      </c>
      <c r="F416" s="90">
        <v>5</v>
      </c>
    </row>
    <row r="417" spans="1:6" x14ac:dyDescent="0.3">
      <c r="A417" s="1" t="s">
        <v>419</v>
      </c>
      <c r="B417" s="1" t="s">
        <v>185</v>
      </c>
      <c r="C417" s="1">
        <v>50</v>
      </c>
      <c r="D417" s="1">
        <v>1</v>
      </c>
      <c r="E417" s="1">
        <v>5</v>
      </c>
      <c r="F417" s="90">
        <v>5</v>
      </c>
    </row>
    <row r="418" spans="1:6" x14ac:dyDescent="0.3">
      <c r="A418" s="1" t="s">
        <v>39</v>
      </c>
      <c r="B418" s="1" t="s">
        <v>185</v>
      </c>
      <c r="C418" s="1">
        <v>50</v>
      </c>
      <c r="D418" s="1">
        <v>5</v>
      </c>
      <c r="E418" s="1">
        <v>25</v>
      </c>
      <c r="F418" s="90">
        <v>5</v>
      </c>
    </row>
    <row r="419" spans="1:6" x14ac:dyDescent="0.3">
      <c r="A419" s="1" t="s">
        <v>420</v>
      </c>
      <c r="B419" s="1" t="s">
        <v>185</v>
      </c>
      <c r="C419" s="1">
        <v>50</v>
      </c>
      <c r="D419" s="1">
        <v>2</v>
      </c>
      <c r="E419" s="1">
        <v>10</v>
      </c>
      <c r="F419" s="90">
        <v>5</v>
      </c>
    </row>
    <row r="420" spans="1:6" x14ac:dyDescent="0.3">
      <c r="A420" s="1" t="s">
        <v>43</v>
      </c>
      <c r="B420" s="1" t="s">
        <v>185</v>
      </c>
      <c r="C420" s="1">
        <v>50</v>
      </c>
      <c r="D420" s="1">
        <v>67</v>
      </c>
      <c r="E420" s="1">
        <v>335</v>
      </c>
      <c r="F420" s="90">
        <v>5</v>
      </c>
    </row>
    <row r="421" spans="1:6" x14ac:dyDescent="0.3">
      <c r="A421" s="1" t="s">
        <v>45</v>
      </c>
      <c r="B421" s="1" t="s">
        <v>185</v>
      </c>
      <c r="C421" s="1">
        <v>0</v>
      </c>
      <c r="D421" s="1">
        <v>2</v>
      </c>
      <c r="E421" s="1">
        <v>0</v>
      </c>
      <c r="F421" s="90">
        <v>0</v>
      </c>
    </row>
    <row r="422" spans="1:6" x14ac:dyDescent="0.3">
      <c r="A422" s="1" t="s">
        <v>45</v>
      </c>
      <c r="B422" s="1" t="s">
        <v>185</v>
      </c>
      <c r="C422" s="1">
        <v>50</v>
      </c>
      <c r="D422" s="1">
        <v>153</v>
      </c>
      <c r="E422" s="1">
        <v>897.9</v>
      </c>
      <c r="F422" s="90">
        <v>5.86862745098039</v>
      </c>
    </row>
    <row r="423" spans="1:6" x14ac:dyDescent="0.3">
      <c r="A423" s="1" t="s">
        <v>46</v>
      </c>
      <c r="B423" s="1" t="s">
        <v>185</v>
      </c>
      <c r="C423" s="1">
        <v>0</v>
      </c>
      <c r="D423" s="1">
        <v>18</v>
      </c>
      <c r="E423" s="1">
        <v>0</v>
      </c>
      <c r="F423" s="90">
        <v>0</v>
      </c>
    </row>
    <row r="424" spans="1:6" x14ac:dyDescent="0.3">
      <c r="A424" s="1" t="s">
        <v>46</v>
      </c>
      <c r="B424" s="1" t="s">
        <v>185</v>
      </c>
      <c r="C424" s="1">
        <v>50</v>
      </c>
      <c r="D424" s="1">
        <v>9317</v>
      </c>
      <c r="E424" s="1">
        <v>73248.500000006505</v>
      </c>
      <c r="F424" s="90">
        <v>7.8618117419777303</v>
      </c>
    </row>
    <row r="425" spans="1:6" x14ac:dyDescent="0.3">
      <c r="A425" s="1" t="s">
        <v>47</v>
      </c>
      <c r="B425" s="1" t="s">
        <v>185</v>
      </c>
      <c r="C425" s="1">
        <v>0</v>
      </c>
      <c r="D425" s="1">
        <v>1</v>
      </c>
      <c r="E425" s="1">
        <v>0</v>
      </c>
      <c r="F425" s="90">
        <v>0</v>
      </c>
    </row>
    <row r="426" spans="1:6" x14ac:dyDescent="0.3">
      <c r="A426" s="1" t="s">
        <v>47</v>
      </c>
      <c r="B426" s="1" t="s">
        <v>185</v>
      </c>
      <c r="C426" s="1">
        <v>50</v>
      </c>
      <c r="D426" s="1">
        <v>1657</v>
      </c>
      <c r="E426" s="1">
        <v>9104.9</v>
      </c>
      <c r="F426" s="90">
        <v>5.4948098974049504</v>
      </c>
    </row>
    <row r="427" spans="1:6" x14ac:dyDescent="0.3">
      <c r="A427" s="1" t="s">
        <v>48</v>
      </c>
      <c r="B427" s="1" t="s">
        <v>185</v>
      </c>
      <c r="C427" s="1">
        <v>50</v>
      </c>
      <c r="D427" s="1">
        <v>23</v>
      </c>
      <c r="E427" s="1">
        <v>123</v>
      </c>
      <c r="F427" s="90">
        <v>5.3478260869565197</v>
      </c>
    </row>
    <row r="428" spans="1:6" x14ac:dyDescent="0.3">
      <c r="A428" s="1" t="s">
        <v>49</v>
      </c>
      <c r="B428" s="1" t="s">
        <v>185</v>
      </c>
      <c r="C428" s="1">
        <v>50</v>
      </c>
      <c r="D428" s="1">
        <v>392</v>
      </c>
      <c r="E428" s="1">
        <v>2125.8000000000002</v>
      </c>
      <c r="F428" s="90">
        <v>5.4229591836734699</v>
      </c>
    </row>
    <row r="429" spans="1:6" x14ac:dyDescent="0.3">
      <c r="A429" s="1" t="s">
        <v>50</v>
      </c>
      <c r="B429" s="1" t="s">
        <v>185</v>
      </c>
      <c r="C429" s="1">
        <v>50</v>
      </c>
      <c r="D429" s="1">
        <v>18</v>
      </c>
      <c r="E429" s="1">
        <v>90</v>
      </c>
      <c r="F429" s="90">
        <v>5</v>
      </c>
    </row>
    <row r="430" spans="1:6" x14ac:dyDescent="0.3">
      <c r="A430" s="1" t="s">
        <v>51</v>
      </c>
      <c r="B430" s="1" t="s">
        <v>185</v>
      </c>
      <c r="C430" s="1">
        <v>0</v>
      </c>
      <c r="D430" s="1">
        <v>1</v>
      </c>
      <c r="E430" s="1">
        <v>0</v>
      </c>
      <c r="F430" s="90">
        <v>0</v>
      </c>
    </row>
    <row r="431" spans="1:6" x14ac:dyDescent="0.3">
      <c r="A431" s="1" t="s">
        <v>51</v>
      </c>
      <c r="B431" s="1" t="s">
        <v>185</v>
      </c>
      <c r="C431" s="1">
        <v>50</v>
      </c>
      <c r="D431" s="1">
        <v>9</v>
      </c>
      <c r="E431" s="1">
        <v>44</v>
      </c>
      <c r="F431" s="90">
        <v>4.8888888888888902</v>
      </c>
    </row>
    <row r="432" spans="1:6" x14ac:dyDescent="0.3">
      <c r="A432" s="1" t="s">
        <v>52</v>
      </c>
      <c r="B432" s="1" t="s">
        <v>185</v>
      </c>
      <c r="C432" s="1">
        <v>50</v>
      </c>
      <c r="D432" s="1">
        <v>1853</v>
      </c>
      <c r="E432" s="1">
        <v>13003.6</v>
      </c>
      <c r="F432" s="90">
        <v>7.0175930922827696</v>
      </c>
    </row>
    <row r="433" spans="1:6" x14ac:dyDescent="0.3">
      <c r="A433" s="1" t="s">
        <v>53</v>
      </c>
      <c r="B433" s="1" t="s">
        <v>185</v>
      </c>
      <c r="C433" s="1">
        <v>50</v>
      </c>
      <c r="D433" s="1">
        <v>1</v>
      </c>
      <c r="E433" s="1">
        <v>5</v>
      </c>
      <c r="F433" s="90">
        <v>5</v>
      </c>
    </row>
    <row r="434" spans="1:6" x14ac:dyDescent="0.3">
      <c r="A434" s="1" t="s">
        <v>54</v>
      </c>
      <c r="B434" s="1" t="s">
        <v>184</v>
      </c>
      <c r="C434" s="1">
        <v>0</v>
      </c>
      <c r="D434" s="1">
        <v>24</v>
      </c>
      <c r="E434" s="1">
        <v>0</v>
      </c>
      <c r="F434" s="90">
        <v>0</v>
      </c>
    </row>
    <row r="435" spans="1:6" x14ac:dyDescent="0.3">
      <c r="A435" s="1" t="s">
        <v>54</v>
      </c>
      <c r="B435" s="1" t="s">
        <v>184</v>
      </c>
      <c r="C435" s="1">
        <v>21</v>
      </c>
      <c r="D435" s="1">
        <v>179</v>
      </c>
      <c r="E435" s="1">
        <v>716</v>
      </c>
      <c r="F435" s="90">
        <v>4</v>
      </c>
    </row>
    <row r="436" spans="1:6" x14ac:dyDescent="0.3">
      <c r="A436" s="1" t="s">
        <v>54</v>
      </c>
      <c r="B436" s="1" t="s">
        <v>184</v>
      </c>
      <c r="C436" s="1">
        <v>22</v>
      </c>
      <c r="D436" s="1">
        <v>366</v>
      </c>
      <c r="E436" s="1">
        <v>1464</v>
      </c>
      <c r="F436" s="90">
        <v>4</v>
      </c>
    </row>
    <row r="437" spans="1:6" x14ac:dyDescent="0.3">
      <c r="A437" s="1" t="s">
        <v>54</v>
      </c>
      <c r="B437" s="1" t="s">
        <v>184</v>
      </c>
      <c r="C437" s="1">
        <v>23</v>
      </c>
      <c r="D437" s="1">
        <v>2</v>
      </c>
      <c r="E437" s="1">
        <v>6</v>
      </c>
      <c r="F437" s="90">
        <v>3</v>
      </c>
    </row>
    <row r="438" spans="1:6" x14ac:dyDescent="0.3">
      <c r="A438" s="1" t="s">
        <v>54</v>
      </c>
      <c r="B438" s="1" t="s">
        <v>184</v>
      </c>
      <c r="C438" s="1">
        <v>24</v>
      </c>
      <c r="D438" s="1">
        <v>1</v>
      </c>
      <c r="E438" s="1">
        <v>12</v>
      </c>
      <c r="F438" s="90">
        <v>12</v>
      </c>
    </row>
    <row r="439" spans="1:6" x14ac:dyDescent="0.3">
      <c r="A439" s="1" t="s">
        <v>54</v>
      </c>
      <c r="B439" s="1" t="s">
        <v>184</v>
      </c>
      <c r="C439" s="1">
        <v>26</v>
      </c>
      <c r="D439" s="1">
        <v>2</v>
      </c>
      <c r="E439" s="1">
        <v>21.7</v>
      </c>
      <c r="F439" s="90">
        <v>10.85</v>
      </c>
    </row>
    <row r="440" spans="1:6" x14ac:dyDescent="0.3">
      <c r="A440" s="1" t="s">
        <v>54</v>
      </c>
      <c r="B440" s="1" t="s">
        <v>183</v>
      </c>
      <c r="C440" s="1">
        <v>0</v>
      </c>
      <c r="D440" s="1">
        <v>15</v>
      </c>
      <c r="E440" s="1">
        <v>0</v>
      </c>
      <c r="F440" s="90">
        <v>0</v>
      </c>
    </row>
    <row r="441" spans="1:6" x14ac:dyDescent="0.3">
      <c r="A441" s="1" t="s">
        <v>54</v>
      </c>
      <c r="B441" s="1" t="s">
        <v>183</v>
      </c>
      <c r="C441" s="1">
        <v>31</v>
      </c>
      <c r="D441" s="1">
        <v>382</v>
      </c>
      <c r="E441" s="1">
        <v>3056</v>
      </c>
      <c r="F441" s="90">
        <v>8</v>
      </c>
    </row>
    <row r="442" spans="1:6" x14ac:dyDescent="0.3">
      <c r="A442" s="1" t="s">
        <v>54</v>
      </c>
      <c r="B442" s="1" t="s">
        <v>183</v>
      </c>
      <c r="C442" s="1">
        <v>32</v>
      </c>
      <c r="D442" s="1">
        <v>960</v>
      </c>
      <c r="E442" s="1">
        <v>9600</v>
      </c>
      <c r="F442" s="90">
        <v>10</v>
      </c>
    </row>
    <row r="443" spans="1:6" x14ac:dyDescent="0.3">
      <c r="A443" s="1" t="s">
        <v>54</v>
      </c>
      <c r="B443" s="1" t="s">
        <v>183</v>
      </c>
      <c r="C443" s="1">
        <v>34</v>
      </c>
      <c r="D443" s="1">
        <v>2</v>
      </c>
      <c r="E443" s="1">
        <v>24</v>
      </c>
      <c r="F443" s="90">
        <v>12</v>
      </c>
    </row>
    <row r="444" spans="1:6" x14ac:dyDescent="0.3">
      <c r="A444" s="1" t="s">
        <v>54</v>
      </c>
      <c r="B444" s="1" t="s">
        <v>183</v>
      </c>
      <c r="C444" s="1">
        <v>35</v>
      </c>
      <c r="D444" s="1">
        <v>11</v>
      </c>
      <c r="E444" s="1">
        <v>82.5</v>
      </c>
      <c r="F444" s="90">
        <v>7.5</v>
      </c>
    </row>
    <row r="445" spans="1:6" x14ac:dyDescent="0.3">
      <c r="A445" s="1" t="s">
        <v>54</v>
      </c>
      <c r="B445" s="1" t="s">
        <v>159</v>
      </c>
      <c r="C445" s="1">
        <v>41</v>
      </c>
      <c r="D445" s="1">
        <v>6</v>
      </c>
      <c r="E445" s="1">
        <v>12</v>
      </c>
      <c r="F445" s="90">
        <v>2</v>
      </c>
    </row>
    <row r="446" spans="1:6" x14ac:dyDescent="0.3">
      <c r="A446" s="1" t="s">
        <v>54</v>
      </c>
      <c r="B446" s="1" t="s">
        <v>159</v>
      </c>
      <c r="C446" s="1">
        <v>42</v>
      </c>
      <c r="D446" s="1">
        <v>127</v>
      </c>
      <c r="E446" s="1">
        <v>254</v>
      </c>
      <c r="F446" s="90">
        <v>2</v>
      </c>
    </row>
    <row r="447" spans="1:6" x14ac:dyDescent="0.3">
      <c r="A447" s="1" t="s">
        <v>54</v>
      </c>
      <c r="B447" s="1" t="s">
        <v>5</v>
      </c>
      <c r="C447" s="1">
        <v>0</v>
      </c>
      <c r="D447" s="1">
        <v>24</v>
      </c>
      <c r="E447" s="1">
        <v>0</v>
      </c>
      <c r="F447" s="90">
        <v>0</v>
      </c>
    </row>
    <row r="448" spans="1:6" x14ac:dyDescent="0.3">
      <c r="A448" s="1" t="s">
        <v>54</v>
      </c>
      <c r="B448" s="1" t="s">
        <v>5</v>
      </c>
      <c r="C448" s="1">
        <v>10</v>
      </c>
      <c r="D448" s="1">
        <v>27</v>
      </c>
      <c r="E448" s="1">
        <v>0</v>
      </c>
      <c r="F448" s="90">
        <v>0</v>
      </c>
    </row>
    <row r="449" spans="1:6" x14ac:dyDescent="0.3">
      <c r="A449" s="1" t="s">
        <v>54</v>
      </c>
      <c r="B449" s="1" t="s">
        <v>5</v>
      </c>
      <c r="C449" s="1">
        <v>11</v>
      </c>
      <c r="D449" s="1">
        <v>253</v>
      </c>
      <c r="E449" s="1">
        <v>2783</v>
      </c>
      <c r="F449" s="90">
        <v>11</v>
      </c>
    </row>
    <row r="450" spans="1:6" x14ac:dyDescent="0.3">
      <c r="A450" s="1" t="s">
        <v>54</v>
      </c>
      <c r="B450" s="1" t="s">
        <v>5</v>
      </c>
      <c r="C450" s="1">
        <v>12</v>
      </c>
      <c r="D450" s="1">
        <v>587</v>
      </c>
      <c r="E450" s="1">
        <v>11153</v>
      </c>
      <c r="F450" s="90">
        <v>19</v>
      </c>
    </row>
    <row r="451" spans="1:6" x14ac:dyDescent="0.3">
      <c r="A451" s="1" t="s">
        <v>54</v>
      </c>
      <c r="B451" s="1" t="s">
        <v>5</v>
      </c>
      <c r="C451" s="1">
        <v>13</v>
      </c>
      <c r="D451" s="1">
        <v>43</v>
      </c>
      <c r="E451" s="1">
        <v>231.3</v>
      </c>
      <c r="F451" s="90">
        <v>5.3790697674418597</v>
      </c>
    </row>
    <row r="452" spans="1:6" x14ac:dyDescent="0.3">
      <c r="A452" s="1" t="s">
        <v>54</v>
      </c>
      <c r="B452" s="1" t="s">
        <v>5</v>
      </c>
      <c r="C452" s="1">
        <v>14</v>
      </c>
      <c r="D452" s="1">
        <v>5</v>
      </c>
      <c r="E452" s="1">
        <v>74.2</v>
      </c>
      <c r="F452" s="90">
        <v>14.84</v>
      </c>
    </row>
    <row r="453" spans="1:6" x14ac:dyDescent="0.3">
      <c r="A453" s="1" t="s">
        <v>54</v>
      </c>
      <c r="B453" s="1" t="s">
        <v>5</v>
      </c>
      <c r="C453" s="1">
        <v>15</v>
      </c>
      <c r="D453" s="1">
        <v>116</v>
      </c>
      <c r="E453" s="1">
        <v>1048.3</v>
      </c>
      <c r="F453" s="90">
        <v>9.0370689655172391</v>
      </c>
    </row>
    <row r="454" spans="1:6" x14ac:dyDescent="0.3">
      <c r="A454" s="1" t="s">
        <v>54</v>
      </c>
      <c r="B454" s="1" t="s">
        <v>5</v>
      </c>
      <c r="C454" s="1">
        <v>16</v>
      </c>
      <c r="D454" s="1">
        <v>8</v>
      </c>
      <c r="E454" s="1">
        <v>210.5</v>
      </c>
      <c r="F454" s="90">
        <v>26.3125</v>
      </c>
    </row>
    <row r="455" spans="1:6" x14ac:dyDescent="0.3">
      <c r="A455" s="1" t="s">
        <v>55</v>
      </c>
      <c r="B455" s="1" t="s">
        <v>184</v>
      </c>
      <c r="C455" s="1">
        <v>0</v>
      </c>
      <c r="D455" s="1">
        <v>3</v>
      </c>
      <c r="E455" s="1">
        <v>0</v>
      </c>
      <c r="F455" s="90">
        <v>0</v>
      </c>
    </row>
    <row r="456" spans="1:6" x14ac:dyDescent="0.3">
      <c r="A456" s="1" t="s">
        <v>55</v>
      </c>
      <c r="B456" s="1" t="s">
        <v>184</v>
      </c>
      <c r="C456" s="1">
        <v>21</v>
      </c>
      <c r="D456" s="1">
        <v>30</v>
      </c>
      <c r="E456" s="1">
        <v>120</v>
      </c>
      <c r="F456" s="90">
        <v>4</v>
      </c>
    </row>
    <row r="457" spans="1:6" x14ac:dyDescent="0.3">
      <c r="A457" s="1" t="s">
        <v>55</v>
      </c>
      <c r="B457" s="1" t="s">
        <v>184</v>
      </c>
      <c r="C457" s="1">
        <v>22</v>
      </c>
      <c r="D457" s="1">
        <v>50</v>
      </c>
      <c r="E457" s="1">
        <v>200</v>
      </c>
      <c r="F457" s="90">
        <v>4</v>
      </c>
    </row>
    <row r="458" spans="1:6" x14ac:dyDescent="0.3">
      <c r="A458" s="1" t="s">
        <v>55</v>
      </c>
      <c r="B458" s="1" t="s">
        <v>183</v>
      </c>
      <c r="C458" s="1">
        <v>0</v>
      </c>
      <c r="D458" s="1">
        <v>2</v>
      </c>
      <c r="E458" s="1">
        <v>0</v>
      </c>
      <c r="F458" s="90">
        <v>0</v>
      </c>
    </row>
    <row r="459" spans="1:6" x14ac:dyDescent="0.3">
      <c r="A459" s="1" t="s">
        <v>55</v>
      </c>
      <c r="B459" s="1" t="s">
        <v>183</v>
      </c>
      <c r="C459" s="1">
        <v>31</v>
      </c>
      <c r="D459" s="1">
        <v>23</v>
      </c>
      <c r="E459" s="1">
        <v>184</v>
      </c>
      <c r="F459" s="90">
        <v>8</v>
      </c>
    </row>
    <row r="460" spans="1:6" x14ac:dyDescent="0.3">
      <c r="A460" s="1" t="s">
        <v>55</v>
      </c>
      <c r="B460" s="1" t="s">
        <v>183</v>
      </c>
      <c r="C460" s="1">
        <v>32</v>
      </c>
      <c r="D460" s="1">
        <v>93</v>
      </c>
      <c r="E460" s="1">
        <v>930</v>
      </c>
      <c r="F460" s="90">
        <v>10</v>
      </c>
    </row>
    <row r="461" spans="1:6" x14ac:dyDescent="0.3">
      <c r="A461" s="1" t="s">
        <v>55</v>
      </c>
      <c r="B461" s="1" t="s">
        <v>183</v>
      </c>
      <c r="C461" s="1">
        <v>34</v>
      </c>
      <c r="D461" s="1">
        <v>1</v>
      </c>
      <c r="E461" s="1">
        <v>12</v>
      </c>
      <c r="F461" s="90">
        <v>12</v>
      </c>
    </row>
    <row r="462" spans="1:6" x14ac:dyDescent="0.3">
      <c r="A462" s="1" t="s">
        <v>55</v>
      </c>
      <c r="B462" s="1" t="s">
        <v>159</v>
      </c>
      <c r="C462" s="1">
        <v>42</v>
      </c>
      <c r="D462" s="1">
        <v>15</v>
      </c>
      <c r="E462" s="1">
        <v>30</v>
      </c>
      <c r="F462" s="90">
        <v>2</v>
      </c>
    </row>
    <row r="463" spans="1:6" x14ac:dyDescent="0.3">
      <c r="A463" s="1" t="s">
        <v>55</v>
      </c>
      <c r="B463" s="1" t="s">
        <v>5</v>
      </c>
      <c r="C463" s="1">
        <v>0</v>
      </c>
      <c r="D463" s="1">
        <v>4</v>
      </c>
      <c r="E463" s="1">
        <v>0</v>
      </c>
      <c r="F463" s="90">
        <v>0</v>
      </c>
    </row>
    <row r="464" spans="1:6" x14ac:dyDescent="0.3">
      <c r="A464" s="1" t="s">
        <v>55</v>
      </c>
      <c r="B464" s="1" t="s">
        <v>5</v>
      </c>
      <c r="C464" s="1">
        <v>11</v>
      </c>
      <c r="D464" s="1">
        <v>20</v>
      </c>
      <c r="E464" s="1">
        <v>220</v>
      </c>
      <c r="F464" s="90">
        <v>11</v>
      </c>
    </row>
    <row r="465" spans="1:6" x14ac:dyDescent="0.3">
      <c r="A465" s="1" t="s">
        <v>55</v>
      </c>
      <c r="B465" s="1" t="s">
        <v>5</v>
      </c>
      <c r="C465" s="1">
        <v>12</v>
      </c>
      <c r="D465" s="1">
        <v>156</v>
      </c>
      <c r="E465" s="1">
        <v>1716</v>
      </c>
      <c r="F465" s="90">
        <v>11</v>
      </c>
    </row>
    <row r="466" spans="1:6" x14ac:dyDescent="0.3">
      <c r="A466" s="1" t="s">
        <v>55</v>
      </c>
      <c r="B466" s="1" t="s">
        <v>5</v>
      </c>
      <c r="C466" s="1">
        <v>15</v>
      </c>
      <c r="D466" s="1">
        <v>14</v>
      </c>
      <c r="E466" s="1">
        <v>108</v>
      </c>
      <c r="F466" s="90">
        <v>7.71428571428571</v>
      </c>
    </row>
    <row r="467" spans="1:6" x14ac:dyDescent="0.3">
      <c r="A467" s="1" t="s">
        <v>55</v>
      </c>
      <c r="B467" s="1" t="s">
        <v>5</v>
      </c>
      <c r="C467" s="1">
        <v>16</v>
      </c>
      <c r="D467" s="1">
        <v>1</v>
      </c>
      <c r="E467" s="1">
        <v>18</v>
      </c>
      <c r="F467" s="90">
        <v>18</v>
      </c>
    </row>
    <row r="468" spans="1:6" x14ac:dyDescent="0.3">
      <c r="A468" s="1" t="s">
        <v>56</v>
      </c>
      <c r="B468" s="1" t="s">
        <v>184</v>
      </c>
      <c r="C468" s="1">
        <v>0</v>
      </c>
      <c r="D468" s="1">
        <v>6</v>
      </c>
      <c r="E468" s="1">
        <v>0</v>
      </c>
      <c r="F468" s="90">
        <v>0</v>
      </c>
    </row>
    <row r="469" spans="1:6" x14ac:dyDescent="0.3">
      <c r="A469" s="1" t="s">
        <v>56</v>
      </c>
      <c r="B469" s="1" t="s">
        <v>184</v>
      </c>
      <c r="C469" s="1">
        <v>21</v>
      </c>
      <c r="D469" s="1">
        <v>55</v>
      </c>
      <c r="E469" s="1">
        <v>220</v>
      </c>
      <c r="F469" s="90">
        <v>4</v>
      </c>
    </row>
    <row r="470" spans="1:6" x14ac:dyDescent="0.3">
      <c r="A470" s="1" t="s">
        <v>56</v>
      </c>
      <c r="B470" s="1" t="s">
        <v>184</v>
      </c>
      <c r="C470" s="1">
        <v>22</v>
      </c>
      <c r="D470" s="1">
        <v>87</v>
      </c>
      <c r="E470" s="1">
        <v>348</v>
      </c>
      <c r="F470" s="90">
        <v>4</v>
      </c>
    </row>
    <row r="471" spans="1:6" x14ac:dyDescent="0.3">
      <c r="A471" s="1" t="s">
        <v>56</v>
      </c>
      <c r="B471" s="1" t="s">
        <v>184</v>
      </c>
      <c r="C471" s="1">
        <v>23</v>
      </c>
      <c r="D471" s="1">
        <v>5</v>
      </c>
      <c r="E471" s="1">
        <v>8</v>
      </c>
      <c r="F471" s="90">
        <v>1.6</v>
      </c>
    </row>
    <row r="472" spans="1:6" x14ac:dyDescent="0.3">
      <c r="A472" s="1" t="s">
        <v>56</v>
      </c>
      <c r="B472" s="1" t="s">
        <v>183</v>
      </c>
      <c r="C472" s="1">
        <v>0</v>
      </c>
      <c r="D472" s="1">
        <v>3</v>
      </c>
      <c r="E472" s="1">
        <v>0</v>
      </c>
      <c r="F472" s="90">
        <v>0</v>
      </c>
    </row>
    <row r="473" spans="1:6" x14ac:dyDescent="0.3">
      <c r="A473" s="1" t="s">
        <v>56</v>
      </c>
      <c r="B473" s="1" t="s">
        <v>183</v>
      </c>
      <c r="C473" s="1">
        <v>31</v>
      </c>
      <c r="D473" s="1">
        <v>103</v>
      </c>
      <c r="E473" s="1">
        <v>824</v>
      </c>
      <c r="F473" s="90">
        <v>8</v>
      </c>
    </row>
    <row r="474" spans="1:6" x14ac:dyDescent="0.3">
      <c r="A474" s="1" t="s">
        <v>56</v>
      </c>
      <c r="B474" s="1" t="s">
        <v>183</v>
      </c>
      <c r="C474" s="1">
        <v>32</v>
      </c>
      <c r="D474" s="1">
        <v>161</v>
      </c>
      <c r="E474" s="1">
        <v>1610</v>
      </c>
      <c r="F474" s="90">
        <v>10</v>
      </c>
    </row>
    <row r="475" spans="1:6" x14ac:dyDescent="0.3">
      <c r="A475" s="1" t="s">
        <v>56</v>
      </c>
      <c r="B475" s="1" t="s">
        <v>183</v>
      </c>
      <c r="C475" s="1">
        <v>33</v>
      </c>
      <c r="D475" s="1">
        <v>2</v>
      </c>
      <c r="E475" s="1">
        <v>12</v>
      </c>
      <c r="F475" s="90">
        <v>6</v>
      </c>
    </row>
    <row r="476" spans="1:6" x14ac:dyDescent="0.3">
      <c r="A476" s="1" t="s">
        <v>56</v>
      </c>
      <c r="B476" s="1" t="s">
        <v>183</v>
      </c>
      <c r="C476" s="1">
        <v>35</v>
      </c>
      <c r="D476" s="1">
        <v>21</v>
      </c>
      <c r="E476" s="1">
        <v>46.5</v>
      </c>
      <c r="F476" s="90">
        <v>2.21428571428571</v>
      </c>
    </row>
    <row r="477" spans="1:6" x14ac:dyDescent="0.3">
      <c r="A477" s="1" t="s">
        <v>56</v>
      </c>
      <c r="B477" s="1" t="s">
        <v>159</v>
      </c>
      <c r="C477" s="1">
        <v>41</v>
      </c>
      <c r="D477" s="1">
        <v>1</v>
      </c>
      <c r="E477" s="1">
        <v>2</v>
      </c>
      <c r="F477" s="90">
        <v>2</v>
      </c>
    </row>
    <row r="478" spans="1:6" x14ac:dyDescent="0.3">
      <c r="A478" s="1" t="s">
        <v>56</v>
      </c>
      <c r="B478" s="1" t="s">
        <v>159</v>
      </c>
      <c r="C478" s="1">
        <v>42</v>
      </c>
      <c r="D478" s="1">
        <v>41</v>
      </c>
      <c r="E478" s="1">
        <v>82</v>
      </c>
      <c r="F478" s="90">
        <v>2</v>
      </c>
    </row>
    <row r="479" spans="1:6" x14ac:dyDescent="0.3">
      <c r="A479" s="1" t="s">
        <v>56</v>
      </c>
      <c r="B479" s="1" t="s">
        <v>5</v>
      </c>
      <c r="C479" s="1">
        <v>0</v>
      </c>
      <c r="D479" s="1">
        <v>2</v>
      </c>
      <c r="E479" s="1">
        <v>0</v>
      </c>
      <c r="F479" s="90">
        <v>0</v>
      </c>
    </row>
    <row r="480" spans="1:6" x14ac:dyDescent="0.3">
      <c r="A480" s="1" t="s">
        <v>56</v>
      </c>
      <c r="B480" s="1" t="s">
        <v>5</v>
      </c>
      <c r="C480" s="1">
        <v>11</v>
      </c>
      <c r="D480" s="1">
        <v>34</v>
      </c>
      <c r="E480" s="1">
        <v>374</v>
      </c>
      <c r="F480" s="90">
        <v>11</v>
      </c>
    </row>
    <row r="481" spans="1:6" x14ac:dyDescent="0.3">
      <c r="A481" s="1" t="s">
        <v>56</v>
      </c>
      <c r="B481" s="1" t="s">
        <v>5</v>
      </c>
      <c r="C481" s="1">
        <v>12</v>
      </c>
      <c r="D481" s="1">
        <v>94</v>
      </c>
      <c r="E481" s="1">
        <v>1504</v>
      </c>
      <c r="F481" s="90">
        <v>16</v>
      </c>
    </row>
    <row r="482" spans="1:6" x14ac:dyDescent="0.3">
      <c r="A482" s="1" t="s">
        <v>56</v>
      </c>
      <c r="B482" s="1" t="s">
        <v>5</v>
      </c>
      <c r="C482" s="1">
        <v>15</v>
      </c>
      <c r="D482" s="1">
        <v>26</v>
      </c>
      <c r="E482" s="1">
        <v>100.4</v>
      </c>
      <c r="F482" s="90">
        <v>3.8615384615384598</v>
      </c>
    </row>
    <row r="483" spans="1:6" x14ac:dyDescent="0.3">
      <c r="A483" s="1" t="s">
        <v>56</v>
      </c>
      <c r="B483" s="1" t="s">
        <v>5</v>
      </c>
      <c r="C483" s="1">
        <v>16</v>
      </c>
      <c r="D483" s="1">
        <v>2</v>
      </c>
      <c r="E483" s="1">
        <v>48</v>
      </c>
      <c r="F483" s="90">
        <v>24</v>
      </c>
    </row>
    <row r="484" spans="1:6" x14ac:dyDescent="0.3">
      <c r="A484" s="1" t="s">
        <v>57</v>
      </c>
      <c r="B484" s="1" t="s">
        <v>184</v>
      </c>
      <c r="C484" s="1">
        <v>0</v>
      </c>
      <c r="D484" s="1">
        <v>34</v>
      </c>
      <c r="E484" s="1">
        <v>0</v>
      </c>
      <c r="F484" s="90">
        <v>0</v>
      </c>
    </row>
    <row r="485" spans="1:6" x14ac:dyDescent="0.3">
      <c r="A485" s="1" t="s">
        <v>57</v>
      </c>
      <c r="B485" s="1" t="s">
        <v>184</v>
      </c>
      <c r="C485" s="1">
        <v>21</v>
      </c>
      <c r="D485" s="1">
        <v>129</v>
      </c>
      <c r="E485" s="1">
        <v>516</v>
      </c>
      <c r="F485" s="90">
        <v>4</v>
      </c>
    </row>
    <row r="486" spans="1:6" x14ac:dyDescent="0.3">
      <c r="A486" s="1" t="s">
        <v>57</v>
      </c>
      <c r="B486" s="1" t="s">
        <v>184</v>
      </c>
      <c r="C486" s="1">
        <v>22</v>
      </c>
      <c r="D486" s="1">
        <v>285</v>
      </c>
      <c r="E486" s="1">
        <v>1140</v>
      </c>
      <c r="F486" s="90">
        <v>4</v>
      </c>
    </row>
    <row r="487" spans="1:6" x14ac:dyDescent="0.3">
      <c r="A487" s="1" t="s">
        <v>57</v>
      </c>
      <c r="B487" s="1" t="s">
        <v>184</v>
      </c>
      <c r="C487" s="1">
        <v>24</v>
      </c>
      <c r="D487" s="1">
        <v>2</v>
      </c>
      <c r="E487" s="1">
        <v>12</v>
      </c>
      <c r="F487" s="90">
        <v>6</v>
      </c>
    </row>
    <row r="488" spans="1:6" x14ac:dyDescent="0.3">
      <c r="A488" s="1" t="s">
        <v>57</v>
      </c>
      <c r="B488" s="1" t="s">
        <v>184</v>
      </c>
      <c r="C488" s="1">
        <v>25</v>
      </c>
      <c r="D488" s="1">
        <v>18</v>
      </c>
      <c r="E488" s="1">
        <v>38.4</v>
      </c>
      <c r="F488" s="90">
        <v>2.1333333333333302</v>
      </c>
    </row>
    <row r="489" spans="1:6" x14ac:dyDescent="0.3">
      <c r="A489" s="1" t="s">
        <v>57</v>
      </c>
      <c r="B489" s="1" t="s">
        <v>184</v>
      </c>
      <c r="C489" s="1">
        <v>26</v>
      </c>
      <c r="D489" s="1">
        <v>3</v>
      </c>
      <c r="E489" s="1">
        <v>20</v>
      </c>
      <c r="F489" s="90">
        <v>6.6666666666666696</v>
      </c>
    </row>
    <row r="490" spans="1:6" x14ac:dyDescent="0.3">
      <c r="A490" s="1" t="s">
        <v>57</v>
      </c>
      <c r="B490" s="1" t="s">
        <v>183</v>
      </c>
      <c r="C490" s="1">
        <v>0</v>
      </c>
      <c r="D490" s="1">
        <v>12</v>
      </c>
      <c r="E490" s="1">
        <v>0</v>
      </c>
      <c r="F490" s="90">
        <v>0</v>
      </c>
    </row>
    <row r="491" spans="1:6" x14ac:dyDescent="0.3">
      <c r="A491" s="1" t="s">
        <v>57</v>
      </c>
      <c r="B491" s="1" t="s">
        <v>183</v>
      </c>
      <c r="C491" s="1">
        <v>31</v>
      </c>
      <c r="D491" s="1">
        <v>114</v>
      </c>
      <c r="E491" s="1">
        <v>912</v>
      </c>
      <c r="F491" s="90">
        <v>8</v>
      </c>
    </row>
    <row r="492" spans="1:6" x14ac:dyDescent="0.3">
      <c r="A492" s="1" t="s">
        <v>57</v>
      </c>
      <c r="B492" s="1" t="s">
        <v>183</v>
      </c>
      <c r="C492" s="1">
        <v>32</v>
      </c>
      <c r="D492" s="1">
        <v>272</v>
      </c>
      <c r="E492" s="1">
        <v>2720</v>
      </c>
      <c r="F492" s="90">
        <v>10</v>
      </c>
    </row>
    <row r="493" spans="1:6" x14ac:dyDescent="0.3">
      <c r="A493" s="1" t="s">
        <v>57</v>
      </c>
      <c r="B493" s="1" t="s">
        <v>183</v>
      </c>
      <c r="C493" s="1">
        <v>33</v>
      </c>
      <c r="D493" s="1">
        <v>5</v>
      </c>
      <c r="E493" s="1">
        <v>22.5</v>
      </c>
      <c r="F493" s="90">
        <v>4.5</v>
      </c>
    </row>
    <row r="494" spans="1:6" x14ac:dyDescent="0.3">
      <c r="A494" s="1" t="s">
        <v>57</v>
      </c>
      <c r="B494" s="1" t="s">
        <v>183</v>
      </c>
      <c r="C494" s="1">
        <v>35</v>
      </c>
      <c r="D494" s="1">
        <v>5</v>
      </c>
      <c r="E494" s="1">
        <v>34</v>
      </c>
      <c r="F494" s="90">
        <v>6.8</v>
      </c>
    </row>
    <row r="495" spans="1:6" x14ac:dyDescent="0.3">
      <c r="A495" s="1" t="s">
        <v>57</v>
      </c>
      <c r="B495" s="1" t="s">
        <v>183</v>
      </c>
      <c r="C495" s="1">
        <v>36</v>
      </c>
      <c r="D495" s="1">
        <v>4</v>
      </c>
      <c r="E495" s="1">
        <v>81.5</v>
      </c>
      <c r="F495" s="90">
        <v>20.375</v>
      </c>
    </row>
    <row r="496" spans="1:6" x14ac:dyDescent="0.3">
      <c r="A496" s="1" t="s">
        <v>57</v>
      </c>
      <c r="B496" s="1" t="s">
        <v>159</v>
      </c>
      <c r="C496" s="1">
        <v>41</v>
      </c>
      <c r="D496" s="1">
        <v>2</v>
      </c>
      <c r="E496" s="1">
        <v>4</v>
      </c>
      <c r="F496" s="90">
        <v>2</v>
      </c>
    </row>
    <row r="497" spans="1:6" x14ac:dyDescent="0.3">
      <c r="A497" s="1" t="s">
        <v>57</v>
      </c>
      <c r="B497" s="1" t="s">
        <v>159</v>
      </c>
      <c r="C497" s="1">
        <v>42</v>
      </c>
      <c r="D497" s="1">
        <v>527</v>
      </c>
      <c r="E497" s="1">
        <v>1054</v>
      </c>
      <c r="F497" s="90">
        <v>2</v>
      </c>
    </row>
    <row r="498" spans="1:6" x14ac:dyDescent="0.3">
      <c r="A498" s="1" t="s">
        <v>57</v>
      </c>
      <c r="B498" s="1" t="s">
        <v>5</v>
      </c>
      <c r="C498" s="1">
        <v>0</v>
      </c>
      <c r="D498" s="1">
        <v>1172</v>
      </c>
      <c r="E498" s="1">
        <v>0</v>
      </c>
      <c r="F498" s="90">
        <v>0</v>
      </c>
    </row>
    <row r="499" spans="1:6" x14ac:dyDescent="0.3">
      <c r="A499" s="1" t="s">
        <v>57</v>
      </c>
      <c r="B499" s="1" t="s">
        <v>5</v>
      </c>
      <c r="C499" s="1">
        <v>10</v>
      </c>
      <c r="D499" s="1">
        <v>24</v>
      </c>
      <c r="E499" s="1">
        <v>0</v>
      </c>
      <c r="F499" s="90">
        <v>0</v>
      </c>
    </row>
    <row r="500" spans="1:6" x14ac:dyDescent="0.3">
      <c r="A500" s="1" t="s">
        <v>57</v>
      </c>
      <c r="B500" s="1" t="s">
        <v>5</v>
      </c>
      <c r="C500" s="1">
        <v>11</v>
      </c>
      <c r="D500" s="1">
        <v>590</v>
      </c>
      <c r="E500" s="1">
        <v>6490</v>
      </c>
      <c r="F500" s="90">
        <v>11</v>
      </c>
    </row>
    <row r="501" spans="1:6" x14ac:dyDescent="0.3">
      <c r="A501" s="1" t="s">
        <v>57</v>
      </c>
      <c r="B501" s="1" t="s">
        <v>5</v>
      </c>
      <c r="C501" s="1">
        <v>12</v>
      </c>
      <c r="D501" s="1">
        <v>2661</v>
      </c>
      <c r="E501" s="1">
        <v>39915</v>
      </c>
      <c r="F501" s="90">
        <v>15</v>
      </c>
    </row>
    <row r="502" spans="1:6" x14ac:dyDescent="0.3">
      <c r="A502" s="1" t="s">
        <v>57</v>
      </c>
      <c r="B502" s="1" t="s">
        <v>5</v>
      </c>
      <c r="C502" s="1">
        <v>13</v>
      </c>
      <c r="D502" s="1">
        <v>99</v>
      </c>
      <c r="E502" s="1">
        <v>677.1</v>
      </c>
      <c r="F502" s="90">
        <v>6.8393939393939398</v>
      </c>
    </row>
    <row r="503" spans="1:6" x14ac:dyDescent="0.3">
      <c r="A503" s="1" t="s">
        <v>57</v>
      </c>
      <c r="B503" s="1" t="s">
        <v>5</v>
      </c>
      <c r="C503" s="1">
        <v>14</v>
      </c>
      <c r="D503" s="1">
        <v>62</v>
      </c>
      <c r="E503" s="1">
        <v>1256.5999999999999</v>
      </c>
      <c r="F503" s="90">
        <v>20.267741935483901</v>
      </c>
    </row>
    <row r="504" spans="1:6" x14ac:dyDescent="0.3">
      <c r="A504" s="1" t="s">
        <v>57</v>
      </c>
      <c r="B504" s="1" t="s">
        <v>5</v>
      </c>
      <c r="C504" s="1">
        <v>15</v>
      </c>
      <c r="D504" s="1">
        <v>258</v>
      </c>
      <c r="E504" s="1">
        <v>2144.6999999999998</v>
      </c>
      <c r="F504" s="90">
        <v>8.3127906976744192</v>
      </c>
    </row>
    <row r="505" spans="1:6" x14ac:dyDescent="0.3">
      <c r="A505" s="1" t="s">
        <v>57</v>
      </c>
      <c r="B505" s="1" t="s">
        <v>5</v>
      </c>
      <c r="C505" s="1">
        <v>16</v>
      </c>
      <c r="D505" s="1">
        <v>121</v>
      </c>
      <c r="E505" s="1">
        <v>3079.5</v>
      </c>
      <c r="F505" s="90">
        <v>25.450413223140501</v>
      </c>
    </row>
    <row r="506" spans="1:6" x14ac:dyDescent="0.3">
      <c r="A506" s="1" t="s">
        <v>58</v>
      </c>
      <c r="B506" s="1" t="s">
        <v>184</v>
      </c>
      <c r="C506" s="1">
        <v>0</v>
      </c>
      <c r="D506" s="1">
        <v>3</v>
      </c>
      <c r="E506" s="1">
        <v>0</v>
      </c>
      <c r="F506" s="90">
        <v>0</v>
      </c>
    </row>
    <row r="507" spans="1:6" x14ac:dyDescent="0.3">
      <c r="A507" s="1" t="s">
        <v>58</v>
      </c>
      <c r="B507" s="1" t="s">
        <v>184</v>
      </c>
      <c r="C507" s="1">
        <v>21</v>
      </c>
      <c r="D507" s="1">
        <v>76</v>
      </c>
      <c r="E507" s="1">
        <v>304</v>
      </c>
      <c r="F507" s="90">
        <v>4</v>
      </c>
    </row>
    <row r="508" spans="1:6" x14ac:dyDescent="0.3">
      <c r="A508" s="1" t="s">
        <v>58</v>
      </c>
      <c r="B508" s="1" t="s">
        <v>184</v>
      </c>
      <c r="C508" s="1">
        <v>22</v>
      </c>
      <c r="D508" s="1">
        <v>116</v>
      </c>
      <c r="E508" s="1">
        <v>464</v>
      </c>
      <c r="F508" s="90">
        <v>4</v>
      </c>
    </row>
    <row r="509" spans="1:6" x14ac:dyDescent="0.3">
      <c r="A509" s="1" t="s">
        <v>58</v>
      </c>
      <c r="B509" s="1" t="s">
        <v>183</v>
      </c>
      <c r="C509" s="1">
        <v>0</v>
      </c>
      <c r="D509" s="1">
        <v>2</v>
      </c>
      <c r="E509" s="1">
        <v>0</v>
      </c>
      <c r="F509" s="90">
        <v>0</v>
      </c>
    </row>
    <row r="510" spans="1:6" x14ac:dyDescent="0.3">
      <c r="A510" s="1" t="s">
        <v>58</v>
      </c>
      <c r="B510" s="1" t="s">
        <v>183</v>
      </c>
      <c r="C510" s="1">
        <v>31</v>
      </c>
      <c r="D510" s="1">
        <v>157</v>
      </c>
      <c r="E510" s="1">
        <v>1256</v>
      </c>
      <c r="F510" s="90">
        <v>8</v>
      </c>
    </row>
    <row r="511" spans="1:6" x14ac:dyDescent="0.3">
      <c r="A511" s="1" t="s">
        <v>58</v>
      </c>
      <c r="B511" s="1" t="s">
        <v>183</v>
      </c>
      <c r="C511" s="1">
        <v>32</v>
      </c>
      <c r="D511" s="1">
        <v>297</v>
      </c>
      <c r="E511" s="1">
        <v>2970</v>
      </c>
      <c r="F511" s="90">
        <v>10</v>
      </c>
    </row>
    <row r="512" spans="1:6" x14ac:dyDescent="0.3">
      <c r="A512" s="1" t="s">
        <v>58</v>
      </c>
      <c r="B512" s="1" t="s">
        <v>183</v>
      </c>
      <c r="C512" s="1">
        <v>35</v>
      </c>
      <c r="D512" s="1">
        <v>1</v>
      </c>
      <c r="E512" s="1">
        <v>4</v>
      </c>
      <c r="F512" s="90">
        <v>4</v>
      </c>
    </row>
    <row r="513" spans="1:6" x14ac:dyDescent="0.3">
      <c r="A513" s="1" t="s">
        <v>58</v>
      </c>
      <c r="B513" s="1" t="s">
        <v>159</v>
      </c>
      <c r="C513" s="1">
        <v>41</v>
      </c>
      <c r="D513" s="1">
        <v>1</v>
      </c>
      <c r="E513" s="1">
        <v>2</v>
      </c>
      <c r="F513" s="90">
        <v>2</v>
      </c>
    </row>
    <row r="514" spans="1:6" x14ac:dyDescent="0.3">
      <c r="A514" s="1" t="s">
        <v>58</v>
      </c>
      <c r="B514" s="1" t="s">
        <v>159</v>
      </c>
      <c r="C514" s="1">
        <v>42</v>
      </c>
      <c r="D514" s="1">
        <v>47</v>
      </c>
      <c r="E514" s="1">
        <v>94</v>
      </c>
      <c r="F514" s="90">
        <v>2</v>
      </c>
    </row>
    <row r="515" spans="1:6" x14ac:dyDescent="0.3">
      <c r="A515" s="1" t="s">
        <v>58</v>
      </c>
      <c r="B515" s="1" t="s">
        <v>5</v>
      </c>
      <c r="C515" s="1">
        <v>0</v>
      </c>
      <c r="D515" s="1">
        <v>4</v>
      </c>
      <c r="E515" s="1">
        <v>0</v>
      </c>
      <c r="F515" s="90">
        <v>0</v>
      </c>
    </row>
    <row r="516" spans="1:6" x14ac:dyDescent="0.3">
      <c r="A516" s="1" t="s">
        <v>58</v>
      </c>
      <c r="B516" s="1" t="s">
        <v>5</v>
      </c>
      <c r="C516" s="1">
        <v>10</v>
      </c>
      <c r="D516" s="1">
        <v>1</v>
      </c>
      <c r="E516" s="1">
        <v>0</v>
      </c>
      <c r="F516" s="90">
        <v>0</v>
      </c>
    </row>
    <row r="517" spans="1:6" x14ac:dyDescent="0.3">
      <c r="A517" s="1" t="s">
        <v>58</v>
      </c>
      <c r="B517" s="1" t="s">
        <v>5</v>
      </c>
      <c r="C517" s="1">
        <v>11</v>
      </c>
      <c r="D517" s="1">
        <v>73</v>
      </c>
      <c r="E517" s="1">
        <v>803</v>
      </c>
      <c r="F517" s="90">
        <v>11</v>
      </c>
    </row>
    <row r="518" spans="1:6" x14ac:dyDescent="0.3">
      <c r="A518" s="1" t="s">
        <v>58</v>
      </c>
      <c r="B518" s="1" t="s">
        <v>5</v>
      </c>
      <c r="C518" s="1">
        <v>12</v>
      </c>
      <c r="D518" s="1">
        <v>137</v>
      </c>
      <c r="E518" s="1">
        <v>2329</v>
      </c>
      <c r="F518" s="90">
        <v>17</v>
      </c>
    </row>
    <row r="519" spans="1:6" x14ac:dyDescent="0.3">
      <c r="A519" s="1" t="s">
        <v>58</v>
      </c>
      <c r="B519" s="1" t="s">
        <v>5</v>
      </c>
      <c r="C519" s="1">
        <v>13</v>
      </c>
      <c r="D519" s="1">
        <v>2</v>
      </c>
      <c r="E519" s="1">
        <v>16.600000000000001</v>
      </c>
      <c r="F519" s="90">
        <v>8.3000000000000007</v>
      </c>
    </row>
    <row r="520" spans="1:6" x14ac:dyDescent="0.3">
      <c r="A520" s="1" t="s">
        <v>58</v>
      </c>
      <c r="B520" s="1" t="s">
        <v>5</v>
      </c>
      <c r="C520" s="1">
        <v>14</v>
      </c>
      <c r="D520" s="1">
        <v>2</v>
      </c>
      <c r="E520" s="1">
        <v>49.5</v>
      </c>
      <c r="F520" s="90">
        <v>24.75</v>
      </c>
    </row>
    <row r="521" spans="1:6" x14ac:dyDescent="0.3">
      <c r="A521" s="1" t="s">
        <v>58</v>
      </c>
      <c r="B521" s="1" t="s">
        <v>5</v>
      </c>
      <c r="C521" s="1">
        <v>15</v>
      </c>
      <c r="D521" s="1">
        <v>10</v>
      </c>
      <c r="E521" s="1">
        <v>47.5</v>
      </c>
      <c r="F521" s="90">
        <v>4.75</v>
      </c>
    </row>
    <row r="522" spans="1:6" x14ac:dyDescent="0.3">
      <c r="A522" s="1" t="s">
        <v>59</v>
      </c>
      <c r="B522" s="1" t="s">
        <v>184</v>
      </c>
      <c r="C522" s="1">
        <v>0</v>
      </c>
      <c r="D522" s="1">
        <v>30</v>
      </c>
      <c r="E522" s="1">
        <v>0</v>
      </c>
      <c r="F522" s="90">
        <v>0</v>
      </c>
    </row>
    <row r="523" spans="1:6" x14ac:dyDescent="0.3">
      <c r="A523" s="1" t="s">
        <v>59</v>
      </c>
      <c r="B523" s="1" t="s">
        <v>184</v>
      </c>
      <c r="C523" s="1">
        <v>21</v>
      </c>
      <c r="D523" s="1">
        <v>251</v>
      </c>
      <c r="E523" s="1">
        <v>1004</v>
      </c>
      <c r="F523" s="90">
        <v>4</v>
      </c>
    </row>
    <row r="524" spans="1:6" x14ac:dyDescent="0.3">
      <c r="A524" s="1" t="s">
        <v>59</v>
      </c>
      <c r="B524" s="1" t="s">
        <v>184</v>
      </c>
      <c r="C524" s="1">
        <v>22</v>
      </c>
      <c r="D524" s="1">
        <v>655</v>
      </c>
      <c r="E524" s="1">
        <v>2620</v>
      </c>
      <c r="F524" s="90">
        <v>4</v>
      </c>
    </row>
    <row r="525" spans="1:6" x14ac:dyDescent="0.3">
      <c r="A525" s="1" t="s">
        <v>59</v>
      </c>
      <c r="B525" s="1" t="s">
        <v>184</v>
      </c>
      <c r="C525" s="1">
        <v>24</v>
      </c>
      <c r="D525" s="1">
        <v>1</v>
      </c>
      <c r="E525" s="1">
        <v>8</v>
      </c>
      <c r="F525" s="90">
        <v>8</v>
      </c>
    </row>
    <row r="526" spans="1:6" x14ac:dyDescent="0.3">
      <c r="A526" s="1" t="s">
        <v>59</v>
      </c>
      <c r="B526" s="1" t="s">
        <v>184</v>
      </c>
      <c r="C526" s="1">
        <v>26</v>
      </c>
      <c r="D526" s="1">
        <v>4</v>
      </c>
      <c r="E526" s="1">
        <v>21.8</v>
      </c>
      <c r="F526" s="90">
        <v>5.45</v>
      </c>
    </row>
    <row r="527" spans="1:6" x14ac:dyDescent="0.3">
      <c r="A527" s="1" t="s">
        <v>59</v>
      </c>
      <c r="B527" s="1" t="s">
        <v>183</v>
      </c>
      <c r="C527" s="1">
        <v>0</v>
      </c>
      <c r="D527" s="1">
        <v>14</v>
      </c>
      <c r="E527" s="1">
        <v>0</v>
      </c>
      <c r="F527" s="90">
        <v>0</v>
      </c>
    </row>
    <row r="528" spans="1:6" x14ac:dyDescent="0.3">
      <c r="A528" s="1" t="s">
        <v>59</v>
      </c>
      <c r="B528" s="1" t="s">
        <v>183</v>
      </c>
      <c r="C528" s="1">
        <v>31</v>
      </c>
      <c r="D528" s="1">
        <v>510</v>
      </c>
      <c r="E528" s="1">
        <v>4080</v>
      </c>
      <c r="F528" s="90">
        <v>8</v>
      </c>
    </row>
    <row r="529" spans="1:6" x14ac:dyDescent="0.3">
      <c r="A529" s="1" t="s">
        <v>59</v>
      </c>
      <c r="B529" s="1" t="s">
        <v>183</v>
      </c>
      <c r="C529" s="1">
        <v>32</v>
      </c>
      <c r="D529" s="1">
        <v>1846</v>
      </c>
      <c r="E529" s="1">
        <v>18460</v>
      </c>
      <c r="F529" s="90">
        <v>10</v>
      </c>
    </row>
    <row r="530" spans="1:6" x14ac:dyDescent="0.3">
      <c r="A530" s="1" t="s">
        <v>59</v>
      </c>
      <c r="B530" s="1" t="s">
        <v>183</v>
      </c>
      <c r="C530" s="1">
        <v>35</v>
      </c>
      <c r="D530" s="1">
        <v>9</v>
      </c>
      <c r="E530" s="1">
        <v>65</v>
      </c>
      <c r="F530" s="90">
        <v>7.2222222222222197</v>
      </c>
    </row>
    <row r="531" spans="1:6" x14ac:dyDescent="0.3">
      <c r="A531" s="1" t="s">
        <v>59</v>
      </c>
      <c r="B531" s="1" t="s">
        <v>159</v>
      </c>
      <c r="C531" s="1">
        <v>41</v>
      </c>
      <c r="D531" s="1">
        <v>10</v>
      </c>
      <c r="E531" s="1">
        <v>20</v>
      </c>
      <c r="F531" s="90">
        <v>2</v>
      </c>
    </row>
    <row r="532" spans="1:6" x14ac:dyDescent="0.3">
      <c r="A532" s="1" t="s">
        <v>59</v>
      </c>
      <c r="B532" s="1" t="s">
        <v>159</v>
      </c>
      <c r="C532" s="1">
        <v>42</v>
      </c>
      <c r="D532" s="1">
        <v>307</v>
      </c>
      <c r="E532" s="1">
        <v>614</v>
      </c>
      <c r="F532" s="90">
        <v>2</v>
      </c>
    </row>
    <row r="533" spans="1:6" x14ac:dyDescent="0.3">
      <c r="A533" s="1" t="s">
        <v>59</v>
      </c>
      <c r="B533" s="1" t="s">
        <v>5</v>
      </c>
      <c r="C533" s="1">
        <v>0</v>
      </c>
      <c r="D533" s="1">
        <v>35</v>
      </c>
      <c r="E533" s="1">
        <v>0</v>
      </c>
      <c r="F533" s="90">
        <v>0</v>
      </c>
    </row>
    <row r="534" spans="1:6" x14ac:dyDescent="0.3">
      <c r="A534" s="1" t="s">
        <v>59</v>
      </c>
      <c r="B534" s="1" t="s">
        <v>5</v>
      </c>
      <c r="C534" s="1">
        <v>10</v>
      </c>
      <c r="D534" s="1">
        <v>2</v>
      </c>
      <c r="E534" s="1">
        <v>0</v>
      </c>
      <c r="F534" s="90">
        <v>0</v>
      </c>
    </row>
    <row r="535" spans="1:6" x14ac:dyDescent="0.3">
      <c r="A535" s="1" t="s">
        <v>59</v>
      </c>
      <c r="B535" s="1" t="s">
        <v>5</v>
      </c>
      <c r="C535" s="1">
        <v>11</v>
      </c>
      <c r="D535" s="1">
        <v>443</v>
      </c>
      <c r="E535" s="1">
        <v>4873</v>
      </c>
      <c r="F535" s="90">
        <v>11</v>
      </c>
    </row>
    <row r="536" spans="1:6" x14ac:dyDescent="0.3">
      <c r="A536" s="1" t="s">
        <v>59</v>
      </c>
      <c r="B536" s="1" t="s">
        <v>5</v>
      </c>
      <c r="C536" s="1">
        <v>12</v>
      </c>
      <c r="D536" s="1">
        <v>1200</v>
      </c>
      <c r="E536" s="1">
        <v>19200</v>
      </c>
      <c r="F536" s="90">
        <v>16</v>
      </c>
    </row>
    <row r="537" spans="1:6" x14ac:dyDescent="0.3">
      <c r="A537" s="1" t="s">
        <v>59</v>
      </c>
      <c r="B537" s="1" t="s">
        <v>5</v>
      </c>
      <c r="C537" s="1">
        <v>13</v>
      </c>
      <c r="D537" s="1">
        <v>28</v>
      </c>
      <c r="E537" s="1">
        <v>201.1</v>
      </c>
      <c r="F537" s="90">
        <v>7.1821428571428596</v>
      </c>
    </row>
    <row r="538" spans="1:6" x14ac:dyDescent="0.3">
      <c r="A538" s="1" t="s">
        <v>59</v>
      </c>
      <c r="B538" s="1" t="s">
        <v>5</v>
      </c>
      <c r="C538" s="1">
        <v>14</v>
      </c>
      <c r="D538" s="1">
        <v>9</v>
      </c>
      <c r="E538" s="1">
        <v>151.5</v>
      </c>
      <c r="F538" s="90">
        <v>16.8333333333333</v>
      </c>
    </row>
    <row r="539" spans="1:6" x14ac:dyDescent="0.3">
      <c r="A539" s="1" t="s">
        <v>59</v>
      </c>
      <c r="B539" s="1" t="s">
        <v>5</v>
      </c>
      <c r="C539" s="1">
        <v>15</v>
      </c>
      <c r="D539" s="1">
        <v>64</v>
      </c>
      <c r="E539" s="1">
        <v>406.2</v>
      </c>
      <c r="F539" s="90">
        <v>6.3468749999999998</v>
      </c>
    </row>
    <row r="540" spans="1:6" x14ac:dyDescent="0.3">
      <c r="A540" s="1" t="s">
        <v>59</v>
      </c>
      <c r="B540" s="1" t="s">
        <v>5</v>
      </c>
      <c r="C540" s="1">
        <v>16</v>
      </c>
      <c r="D540" s="1">
        <v>3</v>
      </c>
      <c r="E540" s="1">
        <v>74.5</v>
      </c>
      <c r="F540" s="90">
        <v>24.8333333333333</v>
      </c>
    </row>
    <row r="541" spans="1:6" x14ac:dyDescent="0.3">
      <c r="A541" s="1" t="s">
        <v>60</v>
      </c>
      <c r="B541" s="1" t="s">
        <v>184</v>
      </c>
      <c r="C541" s="1">
        <v>0</v>
      </c>
      <c r="D541" s="1">
        <v>1</v>
      </c>
      <c r="E541" s="1">
        <v>0</v>
      </c>
      <c r="F541" s="90">
        <v>0</v>
      </c>
    </row>
    <row r="542" spans="1:6" x14ac:dyDescent="0.3">
      <c r="A542" s="1" t="s">
        <v>60</v>
      </c>
      <c r="B542" s="1" t="s">
        <v>184</v>
      </c>
      <c r="C542" s="1">
        <v>21</v>
      </c>
      <c r="D542" s="1">
        <v>8</v>
      </c>
      <c r="E542" s="1">
        <v>32</v>
      </c>
      <c r="F542" s="90">
        <v>4</v>
      </c>
    </row>
    <row r="543" spans="1:6" x14ac:dyDescent="0.3">
      <c r="A543" s="1" t="s">
        <v>60</v>
      </c>
      <c r="B543" s="1" t="s">
        <v>184</v>
      </c>
      <c r="C543" s="1">
        <v>22</v>
      </c>
      <c r="D543" s="1">
        <v>22</v>
      </c>
      <c r="E543" s="1">
        <v>88</v>
      </c>
      <c r="F543" s="90">
        <v>4</v>
      </c>
    </row>
    <row r="544" spans="1:6" x14ac:dyDescent="0.3">
      <c r="A544" s="1" t="s">
        <v>60</v>
      </c>
      <c r="B544" s="1" t="s">
        <v>183</v>
      </c>
      <c r="C544" s="1">
        <v>31</v>
      </c>
      <c r="D544" s="1">
        <v>43</v>
      </c>
      <c r="E544" s="1">
        <v>344</v>
      </c>
      <c r="F544" s="90">
        <v>8</v>
      </c>
    </row>
    <row r="545" spans="1:6" x14ac:dyDescent="0.3">
      <c r="A545" s="1" t="s">
        <v>60</v>
      </c>
      <c r="B545" s="1" t="s">
        <v>183</v>
      </c>
      <c r="C545" s="1">
        <v>32</v>
      </c>
      <c r="D545" s="1">
        <v>65</v>
      </c>
      <c r="E545" s="1">
        <v>650</v>
      </c>
      <c r="F545" s="90">
        <v>10</v>
      </c>
    </row>
    <row r="546" spans="1:6" x14ac:dyDescent="0.3">
      <c r="A546" s="1" t="s">
        <v>60</v>
      </c>
      <c r="B546" s="1" t="s">
        <v>159</v>
      </c>
      <c r="C546" s="1">
        <v>42</v>
      </c>
      <c r="D546" s="1">
        <v>10</v>
      </c>
      <c r="E546" s="1">
        <v>20</v>
      </c>
      <c r="F546" s="90">
        <v>2</v>
      </c>
    </row>
    <row r="547" spans="1:6" x14ac:dyDescent="0.3">
      <c r="A547" s="1" t="s">
        <v>60</v>
      </c>
      <c r="B547" s="1" t="s">
        <v>5</v>
      </c>
      <c r="C547" s="1">
        <v>0</v>
      </c>
      <c r="D547" s="1">
        <v>9</v>
      </c>
      <c r="E547" s="1">
        <v>0</v>
      </c>
      <c r="F547" s="90">
        <v>0</v>
      </c>
    </row>
    <row r="548" spans="1:6" x14ac:dyDescent="0.3">
      <c r="A548" s="1" t="s">
        <v>60</v>
      </c>
      <c r="B548" s="1" t="s">
        <v>5</v>
      </c>
      <c r="C548" s="1">
        <v>10</v>
      </c>
      <c r="D548" s="1">
        <v>1</v>
      </c>
      <c r="E548" s="1">
        <v>0</v>
      </c>
      <c r="F548" s="90">
        <v>0</v>
      </c>
    </row>
    <row r="549" spans="1:6" x14ac:dyDescent="0.3">
      <c r="A549" s="1" t="s">
        <v>60</v>
      </c>
      <c r="B549" s="1" t="s">
        <v>5</v>
      </c>
      <c r="C549" s="1">
        <v>11</v>
      </c>
      <c r="D549" s="1">
        <v>34</v>
      </c>
      <c r="E549" s="1">
        <v>374</v>
      </c>
      <c r="F549" s="90">
        <v>11</v>
      </c>
    </row>
    <row r="550" spans="1:6" x14ac:dyDescent="0.3">
      <c r="A550" s="1" t="s">
        <v>60</v>
      </c>
      <c r="B550" s="1" t="s">
        <v>5</v>
      </c>
      <c r="C550" s="1">
        <v>12</v>
      </c>
      <c r="D550" s="1">
        <v>309</v>
      </c>
      <c r="E550" s="1">
        <v>3090</v>
      </c>
      <c r="F550" s="90">
        <v>10</v>
      </c>
    </row>
    <row r="551" spans="1:6" x14ac:dyDescent="0.3">
      <c r="A551" s="1" t="s">
        <v>60</v>
      </c>
      <c r="B551" s="1" t="s">
        <v>5</v>
      </c>
      <c r="C551" s="1">
        <v>13</v>
      </c>
      <c r="D551" s="1">
        <v>16</v>
      </c>
      <c r="E551" s="1">
        <v>37.9</v>
      </c>
      <c r="F551" s="90">
        <v>2.3687499999999999</v>
      </c>
    </row>
    <row r="552" spans="1:6" x14ac:dyDescent="0.3">
      <c r="A552" s="1" t="s">
        <v>60</v>
      </c>
      <c r="B552" s="1" t="s">
        <v>5</v>
      </c>
      <c r="C552" s="1">
        <v>15</v>
      </c>
      <c r="D552" s="1">
        <v>1103</v>
      </c>
      <c r="E552" s="1">
        <v>1196</v>
      </c>
      <c r="F552" s="90">
        <v>1.0843155031731599</v>
      </c>
    </row>
    <row r="553" spans="1:6" x14ac:dyDescent="0.3">
      <c r="A553" s="1" t="s">
        <v>60</v>
      </c>
      <c r="B553" s="1" t="s">
        <v>5</v>
      </c>
      <c r="C553" s="1">
        <v>16</v>
      </c>
      <c r="D553" s="1">
        <v>32</v>
      </c>
      <c r="E553" s="1">
        <v>378</v>
      </c>
      <c r="F553" s="90">
        <v>11.8125</v>
      </c>
    </row>
    <row r="554" spans="1:6" x14ac:dyDescent="0.3">
      <c r="A554" s="1" t="s">
        <v>61</v>
      </c>
      <c r="B554" s="1" t="s">
        <v>184</v>
      </c>
      <c r="C554" s="1">
        <v>0</v>
      </c>
      <c r="D554" s="1">
        <v>2</v>
      </c>
      <c r="E554" s="1">
        <v>0</v>
      </c>
      <c r="F554" s="90">
        <v>0</v>
      </c>
    </row>
    <row r="555" spans="1:6" x14ac:dyDescent="0.3">
      <c r="A555" s="1" t="s">
        <v>61</v>
      </c>
      <c r="B555" s="1" t="s">
        <v>184</v>
      </c>
      <c r="C555" s="1">
        <v>21</v>
      </c>
      <c r="D555" s="1">
        <v>27</v>
      </c>
      <c r="E555" s="1">
        <v>108</v>
      </c>
      <c r="F555" s="90">
        <v>4</v>
      </c>
    </row>
    <row r="556" spans="1:6" x14ac:dyDescent="0.3">
      <c r="A556" s="1" t="s">
        <v>61</v>
      </c>
      <c r="B556" s="1" t="s">
        <v>184</v>
      </c>
      <c r="C556" s="1">
        <v>22</v>
      </c>
      <c r="D556" s="1">
        <v>67</v>
      </c>
      <c r="E556" s="1">
        <v>268</v>
      </c>
      <c r="F556" s="90">
        <v>4</v>
      </c>
    </row>
    <row r="557" spans="1:6" x14ac:dyDescent="0.3">
      <c r="A557" s="1" t="s">
        <v>61</v>
      </c>
      <c r="B557" s="1" t="s">
        <v>183</v>
      </c>
      <c r="C557" s="1">
        <v>31</v>
      </c>
      <c r="D557" s="1">
        <v>99</v>
      </c>
      <c r="E557" s="1">
        <v>792</v>
      </c>
      <c r="F557" s="90">
        <v>8</v>
      </c>
    </row>
    <row r="558" spans="1:6" x14ac:dyDescent="0.3">
      <c r="A558" s="1" t="s">
        <v>61</v>
      </c>
      <c r="B558" s="1" t="s">
        <v>183</v>
      </c>
      <c r="C558" s="1">
        <v>32</v>
      </c>
      <c r="D558" s="1">
        <v>128</v>
      </c>
      <c r="E558" s="1">
        <v>1280</v>
      </c>
      <c r="F558" s="90">
        <v>10</v>
      </c>
    </row>
    <row r="559" spans="1:6" x14ac:dyDescent="0.3">
      <c r="A559" s="1" t="s">
        <v>61</v>
      </c>
      <c r="B559" s="1" t="s">
        <v>183</v>
      </c>
      <c r="C559" s="1">
        <v>34</v>
      </c>
      <c r="D559" s="1">
        <v>2</v>
      </c>
      <c r="E559" s="1">
        <v>22</v>
      </c>
      <c r="F559" s="90">
        <v>11</v>
      </c>
    </row>
    <row r="560" spans="1:6" x14ac:dyDescent="0.3">
      <c r="A560" s="1" t="s">
        <v>61</v>
      </c>
      <c r="B560" s="1" t="s">
        <v>159</v>
      </c>
      <c r="C560" s="1">
        <v>42</v>
      </c>
      <c r="D560" s="1">
        <v>24</v>
      </c>
      <c r="E560" s="1">
        <v>48</v>
      </c>
      <c r="F560" s="90">
        <v>2</v>
      </c>
    </row>
    <row r="561" spans="1:6" x14ac:dyDescent="0.3">
      <c r="A561" s="1" t="s">
        <v>61</v>
      </c>
      <c r="B561" s="1" t="s">
        <v>5</v>
      </c>
      <c r="C561" s="1">
        <v>0</v>
      </c>
      <c r="D561" s="1">
        <v>7</v>
      </c>
      <c r="E561" s="1">
        <v>0</v>
      </c>
      <c r="F561" s="90">
        <v>0</v>
      </c>
    </row>
    <row r="562" spans="1:6" x14ac:dyDescent="0.3">
      <c r="A562" s="1" t="s">
        <v>61</v>
      </c>
      <c r="B562" s="1" t="s">
        <v>5</v>
      </c>
      <c r="C562" s="1">
        <v>11</v>
      </c>
      <c r="D562" s="1">
        <v>21</v>
      </c>
      <c r="E562" s="1">
        <v>231</v>
      </c>
      <c r="F562" s="90">
        <v>11</v>
      </c>
    </row>
    <row r="563" spans="1:6" x14ac:dyDescent="0.3">
      <c r="A563" s="1" t="s">
        <v>61</v>
      </c>
      <c r="B563" s="1" t="s">
        <v>5</v>
      </c>
      <c r="C563" s="1">
        <v>12</v>
      </c>
      <c r="D563" s="1">
        <v>41</v>
      </c>
      <c r="E563" s="1">
        <v>738</v>
      </c>
      <c r="F563" s="90">
        <v>18</v>
      </c>
    </row>
    <row r="564" spans="1:6" x14ac:dyDescent="0.3">
      <c r="A564" s="1" t="s">
        <v>61</v>
      </c>
      <c r="B564" s="1" t="s">
        <v>5</v>
      </c>
      <c r="C564" s="1">
        <v>13</v>
      </c>
      <c r="D564" s="1">
        <v>1</v>
      </c>
      <c r="E564" s="1">
        <v>7.4</v>
      </c>
      <c r="F564" s="90">
        <v>7.4</v>
      </c>
    </row>
    <row r="565" spans="1:6" x14ac:dyDescent="0.3">
      <c r="A565" s="1" t="s">
        <v>61</v>
      </c>
      <c r="B565" s="1" t="s">
        <v>5</v>
      </c>
      <c r="C565" s="1">
        <v>14</v>
      </c>
      <c r="D565" s="1">
        <v>1</v>
      </c>
      <c r="E565" s="1">
        <v>15</v>
      </c>
      <c r="F565" s="90">
        <v>15</v>
      </c>
    </row>
    <row r="566" spans="1:6" x14ac:dyDescent="0.3">
      <c r="A566" s="1" t="s">
        <v>61</v>
      </c>
      <c r="B566" s="1" t="s">
        <v>5</v>
      </c>
      <c r="C566" s="1">
        <v>15</v>
      </c>
      <c r="D566" s="1">
        <v>9</v>
      </c>
      <c r="E566" s="1">
        <v>18</v>
      </c>
      <c r="F566" s="90">
        <v>2</v>
      </c>
    </row>
    <row r="567" spans="1:6" x14ac:dyDescent="0.3">
      <c r="A567" s="1" t="s">
        <v>62</v>
      </c>
      <c r="B567" s="1" t="s">
        <v>184</v>
      </c>
      <c r="C567" s="1">
        <v>22</v>
      </c>
      <c r="D567" s="1">
        <v>5</v>
      </c>
      <c r="E567" s="1">
        <v>20</v>
      </c>
      <c r="F567" s="90">
        <v>4</v>
      </c>
    </row>
    <row r="568" spans="1:6" x14ac:dyDescent="0.3">
      <c r="A568" s="1" t="s">
        <v>62</v>
      </c>
      <c r="B568" s="1" t="s">
        <v>183</v>
      </c>
      <c r="C568" s="1">
        <v>31</v>
      </c>
      <c r="D568" s="1">
        <v>14</v>
      </c>
      <c r="E568" s="1">
        <v>112</v>
      </c>
      <c r="F568" s="90">
        <v>8</v>
      </c>
    </row>
    <row r="569" spans="1:6" x14ac:dyDescent="0.3">
      <c r="A569" s="1" t="s">
        <v>62</v>
      </c>
      <c r="B569" s="1" t="s">
        <v>183</v>
      </c>
      <c r="C569" s="1">
        <v>32</v>
      </c>
      <c r="D569" s="1">
        <v>32</v>
      </c>
      <c r="E569" s="1">
        <v>320</v>
      </c>
      <c r="F569" s="90">
        <v>10</v>
      </c>
    </row>
    <row r="570" spans="1:6" x14ac:dyDescent="0.3">
      <c r="A570" s="1" t="s">
        <v>62</v>
      </c>
      <c r="B570" s="1" t="s">
        <v>5</v>
      </c>
      <c r="C570" s="1">
        <v>14</v>
      </c>
      <c r="D570" s="1">
        <v>2</v>
      </c>
      <c r="E570" s="1">
        <v>22</v>
      </c>
      <c r="F570" s="90">
        <v>11</v>
      </c>
    </row>
    <row r="571" spans="1:6" x14ac:dyDescent="0.3">
      <c r="A571" s="1" t="s">
        <v>64</v>
      </c>
      <c r="B571" s="1" t="s">
        <v>184</v>
      </c>
      <c r="C571" s="1">
        <v>21</v>
      </c>
      <c r="D571" s="1">
        <v>2</v>
      </c>
      <c r="E571" s="1">
        <v>8</v>
      </c>
      <c r="F571" s="90">
        <v>4</v>
      </c>
    </row>
    <row r="572" spans="1:6" x14ac:dyDescent="0.3">
      <c r="A572" s="1" t="s">
        <v>64</v>
      </c>
      <c r="B572" s="1" t="s">
        <v>184</v>
      </c>
      <c r="C572" s="1">
        <v>22</v>
      </c>
      <c r="D572" s="1">
        <v>10</v>
      </c>
      <c r="E572" s="1">
        <v>40</v>
      </c>
      <c r="F572" s="90">
        <v>4</v>
      </c>
    </row>
    <row r="573" spans="1:6" x14ac:dyDescent="0.3">
      <c r="A573" s="1" t="s">
        <v>64</v>
      </c>
      <c r="B573" s="1" t="s">
        <v>183</v>
      </c>
      <c r="C573" s="1">
        <v>0</v>
      </c>
      <c r="D573" s="1">
        <v>2</v>
      </c>
      <c r="E573" s="1">
        <v>0</v>
      </c>
      <c r="F573" s="90">
        <v>0</v>
      </c>
    </row>
    <row r="574" spans="1:6" x14ac:dyDescent="0.3">
      <c r="A574" s="1" t="s">
        <v>64</v>
      </c>
      <c r="B574" s="1" t="s">
        <v>183</v>
      </c>
      <c r="C574" s="1">
        <v>31</v>
      </c>
      <c r="D574" s="1">
        <v>71</v>
      </c>
      <c r="E574" s="1">
        <v>568</v>
      </c>
      <c r="F574" s="90">
        <v>8</v>
      </c>
    </row>
    <row r="575" spans="1:6" x14ac:dyDescent="0.3">
      <c r="A575" s="1" t="s">
        <v>64</v>
      </c>
      <c r="B575" s="1" t="s">
        <v>183</v>
      </c>
      <c r="C575" s="1">
        <v>32</v>
      </c>
      <c r="D575" s="1">
        <v>34</v>
      </c>
      <c r="E575" s="1">
        <v>340</v>
      </c>
      <c r="F575" s="90">
        <v>10</v>
      </c>
    </row>
    <row r="576" spans="1:6" x14ac:dyDescent="0.3">
      <c r="A576" s="1" t="s">
        <v>64</v>
      </c>
      <c r="B576" s="1" t="s">
        <v>5</v>
      </c>
      <c r="C576" s="1">
        <v>0</v>
      </c>
      <c r="D576" s="1">
        <v>1</v>
      </c>
      <c r="E576" s="1">
        <v>0</v>
      </c>
      <c r="F576" s="90">
        <v>0</v>
      </c>
    </row>
    <row r="577" spans="1:6" x14ac:dyDescent="0.3">
      <c r="A577" s="1" t="s">
        <v>64</v>
      </c>
      <c r="B577" s="1" t="s">
        <v>5</v>
      </c>
      <c r="C577" s="1">
        <v>11</v>
      </c>
      <c r="D577" s="1">
        <v>9</v>
      </c>
      <c r="E577" s="1">
        <v>99</v>
      </c>
      <c r="F577" s="90">
        <v>11</v>
      </c>
    </row>
    <row r="578" spans="1:6" x14ac:dyDescent="0.3">
      <c r="A578" s="1" t="s">
        <v>64</v>
      </c>
      <c r="B578" s="1" t="s">
        <v>5</v>
      </c>
      <c r="C578" s="1">
        <v>12</v>
      </c>
      <c r="D578" s="1">
        <v>6</v>
      </c>
      <c r="E578" s="1">
        <v>66</v>
      </c>
      <c r="F578" s="90">
        <v>11</v>
      </c>
    </row>
    <row r="579" spans="1:6" x14ac:dyDescent="0.3">
      <c r="A579" s="1" t="s">
        <v>64</v>
      </c>
      <c r="B579" s="1" t="s">
        <v>5</v>
      </c>
      <c r="C579" s="1">
        <v>13</v>
      </c>
      <c r="D579" s="1">
        <v>2</v>
      </c>
      <c r="E579" s="1">
        <v>14.6</v>
      </c>
      <c r="F579" s="90">
        <v>7.3</v>
      </c>
    </row>
    <row r="580" spans="1:6" x14ac:dyDescent="0.3">
      <c r="A580" s="1" t="s">
        <v>64</v>
      </c>
      <c r="B580" s="1" t="s">
        <v>5</v>
      </c>
      <c r="C580" s="1">
        <v>15</v>
      </c>
      <c r="D580" s="1">
        <v>1</v>
      </c>
      <c r="E580" s="1">
        <v>10.8</v>
      </c>
      <c r="F580" s="90">
        <v>10.8</v>
      </c>
    </row>
    <row r="581" spans="1:6" x14ac:dyDescent="0.3">
      <c r="A581" s="1" t="s">
        <v>64</v>
      </c>
      <c r="B581" s="1" t="s">
        <v>5</v>
      </c>
      <c r="C581" s="1">
        <v>16</v>
      </c>
      <c r="D581" s="1">
        <v>1</v>
      </c>
      <c r="E581" s="1">
        <v>24.5</v>
      </c>
      <c r="F581" s="90">
        <v>24.5</v>
      </c>
    </row>
    <row r="582" spans="1:6" x14ac:dyDescent="0.3">
      <c r="A582" s="1" t="s">
        <v>65</v>
      </c>
      <c r="B582" s="1" t="s">
        <v>5</v>
      </c>
      <c r="C582" s="1">
        <v>98</v>
      </c>
      <c r="D582" s="1">
        <v>3</v>
      </c>
      <c r="E582" s="1">
        <v>33</v>
      </c>
      <c r="F582" s="90">
        <v>11</v>
      </c>
    </row>
    <row r="583" spans="1:6" x14ac:dyDescent="0.3">
      <c r="A583" s="1" t="s">
        <v>67</v>
      </c>
      <c r="B583" s="1" t="s">
        <v>183</v>
      </c>
      <c r="C583" s="1">
        <v>31</v>
      </c>
      <c r="D583" s="1">
        <v>2</v>
      </c>
      <c r="E583" s="1">
        <v>16</v>
      </c>
      <c r="F583" s="90">
        <v>8</v>
      </c>
    </row>
    <row r="584" spans="1:6" x14ac:dyDescent="0.3">
      <c r="A584" s="1" t="s">
        <v>67</v>
      </c>
      <c r="B584" s="1" t="s">
        <v>5</v>
      </c>
      <c r="C584" s="1">
        <v>11</v>
      </c>
      <c r="D584" s="1">
        <v>1</v>
      </c>
      <c r="E584" s="1">
        <v>11</v>
      </c>
      <c r="F584" s="90">
        <v>11</v>
      </c>
    </row>
    <row r="585" spans="1:6" x14ac:dyDescent="0.3">
      <c r="A585" s="1" t="s">
        <v>68</v>
      </c>
      <c r="B585" s="1" t="s">
        <v>184</v>
      </c>
      <c r="C585" s="1">
        <v>0</v>
      </c>
      <c r="D585" s="1">
        <v>2</v>
      </c>
      <c r="E585" s="1">
        <v>0</v>
      </c>
      <c r="F585" s="90">
        <v>0</v>
      </c>
    </row>
    <row r="586" spans="1:6" x14ac:dyDescent="0.3">
      <c r="A586" s="1" t="s">
        <v>68</v>
      </c>
      <c r="B586" s="1" t="s">
        <v>184</v>
      </c>
      <c r="C586" s="1">
        <v>21</v>
      </c>
      <c r="D586" s="1">
        <v>165</v>
      </c>
      <c r="E586" s="1">
        <v>660</v>
      </c>
      <c r="F586" s="90">
        <v>4</v>
      </c>
    </row>
    <row r="587" spans="1:6" x14ac:dyDescent="0.3">
      <c r="A587" s="1" t="s">
        <v>68</v>
      </c>
      <c r="B587" s="1" t="s">
        <v>183</v>
      </c>
      <c r="C587" s="1">
        <v>0</v>
      </c>
      <c r="D587" s="1">
        <v>1</v>
      </c>
      <c r="E587" s="1">
        <v>0</v>
      </c>
      <c r="F587" s="90">
        <v>0</v>
      </c>
    </row>
    <row r="588" spans="1:6" x14ac:dyDescent="0.3">
      <c r="A588" s="1" t="s">
        <v>68</v>
      </c>
      <c r="B588" s="1" t="s">
        <v>183</v>
      </c>
      <c r="C588" s="1">
        <v>31</v>
      </c>
      <c r="D588" s="1">
        <v>240</v>
      </c>
      <c r="E588" s="1">
        <v>1920</v>
      </c>
      <c r="F588" s="90">
        <v>8</v>
      </c>
    </row>
    <row r="589" spans="1:6" x14ac:dyDescent="0.3">
      <c r="A589" s="1" t="s">
        <v>68</v>
      </c>
      <c r="B589" s="1" t="s">
        <v>159</v>
      </c>
      <c r="C589" s="1">
        <v>41</v>
      </c>
      <c r="D589" s="1">
        <v>4</v>
      </c>
      <c r="E589" s="1">
        <v>8</v>
      </c>
      <c r="F589" s="90">
        <v>2</v>
      </c>
    </row>
    <row r="590" spans="1:6" x14ac:dyDescent="0.3">
      <c r="A590" s="1" t="s">
        <v>68</v>
      </c>
      <c r="B590" s="1" t="s">
        <v>159</v>
      </c>
      <c r="C590" s="1">
        <v>42</v>
      </c>
      <c r="D590" s="1">
        <v>11</v>
      </c>
      <c r="E590" s="1">
        <v>22</v>
      </c>
      <c r="F590" s="90">
        <v>2</v>
      </c>
    </row>
    <row r="591" spans="1:6" x14ac:dyDescent="0.3">
      <c r="A591" s="1" t="s">
        <v>68</v>
      </c>
      <c r="B591" s="1" t="s">
        <v>5</v>
      </c>
      <c r="C591" s="1">
        <v>0</v>
      </c>
      <c r="D591" s="1">
        <v>15</v>
      </c>
      <c r="E591" s="1">
        <v>0</v>
      </c>
      <c r="F591" s="90">
        <v>0</v>
      </c>
    </row>
    <row r="592" spans="1:6" x14ac:dyDescent="0.3">
      <c r="A592" s="1" t="s">
        <v>68</v>
      </c>
      <c r="B592" s="1" t="s">
        <v>5</v>
      </c>
      <c r="C592" s="1">
        <v>10</v>
      </c>
      <c r="D592" s="1">
        <v>1</v>
      </c>
      <c r="E592" s="1">
        <v>0</v>
      </c>
      <c r="F592" s="90">
        <v>0</v>
      </c>
    </row>
    <row r="593" spans="1:6" x14ac:dyDescent="0.3">
      <c r="A593" s="1" t="s">
        <v>68</v>
      </c>
      <c r="B593" s="1" t="s">
        <v>5</v>
      </c>
      <c r="C593" s="1">
        <v>11</v>
      </c>
      <c r="D593" s="1">
        <v>2002</v>
      </c>
      <c r="E593" s="1">
        <v>20020</v>
      </c>
      <c r="F593" s="90">
        <v>10</v>
      </c>
    </row>
    <row r="594" spans="1:6" x14ac:dyDescent="0.3">
      <c r="A594" s="1" t="s">
        <v>68</v>
      </c>
      <c r="B594" s="1" t="s">
        <v>5</v>
      </c>
      <c r="C594" s="1">
        <v>13</v>
      </c>
      <c r="D594" s="1">
        <v>7</v>
      </c>
      <c r="E594" s="1">
        <v>38.5</v>
      </c>
      <c r="F594" s="90">
        <v>5.5</v>
      </c>
    </row>
    <row r="595" spans="1:6" x14ac:dyDescent="0.3">
      <c r="A595" s="1" t="s">
        <v>68</v>
      </c>
      <c r="B595" s="1" t="s">
        <v>5</v>
      </c>
      <c r="C595" s="1">
        <v>14</v>
      </c>
      <c r="D595" s="1">
        <v>75</v>
      </c>
      <c r="E595" s="1">
        <v>1063</v>
      </c>
      <c r="F595" s="90">
        <v>14.1733333333333</v>
      </c>
    </row>
    <row r="596" spans="1:6" x14ac:dyDescent="0.3">
      <c r="A596" s="1" t="s">
        <v>68</v>
      </c>
      <c r="B596" s="1" t="s">
        <v>5</v>
      </c>
      <c r="C596" s="1">
        <v>15</v>
      </c>
      <c r="D596" s="1">
        <v>1</v>
      </c>
      <c r="E596" s="1">
        <v>10</v>
      </c>
      <c r="F596" s="90">
        <v>10</v>
      </c>
    </row>
    <row r="597" spans="1:6" x14ac:dyDescent="0.3">
      <c r="A597" s="1" t="s">
        <v>69</v>
      </c>
      <c r="B597" s="1" t="s">
        <v>184</v>
      </c>
      <c r="C597" s="1">
        <v>21</v>
      </c>
      <c r="D597" s="1">
        <v>1</v>
      </c>
      <c r="E597" s="1">
        <v>4</v>
      </c>
      <c r="F597" s="90">
        <v>4</v>
      </c>
    </row>
    <row r="598" spans="1:6" x14ac:dyDescent="0.3">
      <c r="A598" s="1" t="s">
        <v>69</v>
      </c>
      <c r="B598" s="1" t="s">
        <v>184</v>
      </c>
      <c r="C598" s="1">
        <v>24</v>
      </c>
      <c r="D598" s="1">
        <v>1</v>
      </c>
      <c r="E598" s="1">
        <v>10</v>
      </c>
      <c r="F598" s="90">
        <v>10</v>
      </c>
    </row>
    <row r="599" spans="1:6" x14ac:dyDescent="0.3">
      <c r="A599" s="1" t="s">
        <v>69</v>
      </c>
      <c r="B599" s="1" t="s">
        <v>183</v>
      </c>
      <c r="C599" s="1">
        <v>31</v>
      </c>
      <c r="D599" s="1">
        <v>3</v>
      </c>
      <c r="E599" s="1">
        <v>24</v>
      </c>
      <c r="F599" s="90">
        <v>8</v>
      </c>
    </row>
    <row r="600" spans="1:6" x14ac:dyDescent="0.3">
      <c r="A600" s="1" t="s">
        <v>69</v>
      </c>
      <c r="B600" s="1" t="s">
        <v>5</v>
      </c>
      <c r="C600" s="1">
        <v>0</v>
      </c>
      <c r="D600" s="1">
        <v>1</v>
      </c>
      <c r="E600" s="1">
        <v>0</v>
      </c>
      <c r="F600" s="90">
        <v>0</v>
      </c>
    </row>
    <row r="601" spans="1:6" x14ac:dyDescent="0.3">
      <c r="A601" s="1" t="s">
        <v>69</v>
      </c>
      <c r="B601" s="1" t="s">
        <v>5</v>
      </c>
      <c r="C601" s="1">
        <v>11</v>
      </c>
      <c r="D601" s="1">
        <v>13</v>
      </c>
      <c r="E601" s="1">
        <v>130</v>
      </c>
      <c r="F601" s="90">
        <v>10</v>
      </c>
    </row>
    <row r="602" spans="1:6" x14ac:dyDescent="0.3">
      <c r="A602" s="1" t="s">
        <v>70</v>
      </c>
      <c r="B602" s="1" t="s">
        <v>184</v>
      </c>
      <c r="C602" s="1">
        <v>0</v>
      </c>
      <c r="D602" s="1">
        <v>8</v>
      </c>
      <c r="E602" s="1">
        <v>0</v>
      </c>
      <c r="F602" s="90">
        <v>0</v>
      </c>
    </row>
    <row r="603" spans="1:6" x14ac:dyDescent="0.3">
      <c r="A603" s="1" t="s">
        <v>70</v>
      </c>
      <c r="B603" s="1" t="s">
        <v>184</v>
      </c>
      <c r="C603" s="1">
        <v>21</v>
      </c>
      <c r="D603" s="1">
        <v>104</v>
      </c>
      <c r="E603" s="1">
        <v>416</v>
      </c>
      <c r="F603" s="90">
        <v>4</v>
      </c>
    </row>
    <row r="604" spans="1:6" x14ac:dyDescent="0.3">
      <c r="A604" s="1" t="s">
        <v>70</v>
      </c>
      <c r="B604" s="1" t="s">
        <v>184</v>
      </c>
      <c r="C604" s="1">
        <v>22</v>
      </c>
      <c r="D604" s="1">
        <v>316</v>
      </c>
      <c r="E604" s="1">
        <v>1264</v>
      </c>
      <c r="F604" s="90">
        <v>4</v>
      </c>
    </row>
    <row r="605" spans="1:6" x14ac:dyDescent="0.3">
      <c r="A605" s="1" t="s">
        <v>70</v>
      </c>
      <c r="B605" s="1" t="s">
        <v>183</v>
      </c>
      <c r="C605" s="1">
        <v>0</v>
      </c>
      <c r="D605" s="1">
        <v>4</v>
      </c>
      <c r="E605" s="1">
        <v>0</v>
      </c>
      <c r="F605" s="90">
        <v>0</v>
      </c>
    </row>
    <row r="606" spans="1:6" x14ac:dyDescent="0.3">
      <c r="A606" s="1" t="s">
        <v>70</v>
      </c>
      <c r="B606" s="1" t="s">
        <v>183</v>
      </c>
      <c r="C606" s="1">
        <v>31</v>
      </c>
      <c r="D606" s="1">
        <v>252</v>
      </c>
      <c r="E606" s="1">
        <v>2016</v>
      </c>
      <c r="F606" s="90">
        <v>8</v>
      </c>
    </row>
    <row r="607" spans="1:6" x14ac:dyDescent="0.3">
      <c r="A607" s="1" t="s">
        <v>70</v>
      </c>
      <c r="B607" s="1" t="s">
        <v>183</v>
      </c>
      <c r="C607" s="1">
        <v>32</v>
      </c>
      <c r="D607" s="1">
        <v>722</v>
      </c>
      <c r="E607" s="1">
        <v>7220</v>
      </c>
      <c r="F607" s="90">
        <v>10</v>
      </c>
    </row>
    <row r="608" spans="1:6" x14ac:dyDescent="0.3">
      <c r="A608" s="1" t="s">
        <v>70</v>
      </c>
      <c r="B608" s="1" t="s">
        <v>183</v>
      </c>
      <c r="C608" s="1">
        <v>35</v>
      </c>
      <c r="D608" s="1">
        <v>2</v>
      </c>
      <c r="E608" s="1">
        <v>15.5</v>
      </c>
      <c r="F608" s="90">
        <v>7.75</v>
      </c>
    </row>
    <row r="609" spans="1:6" x14ac:dyDescent="0.3">
      <c r="A609" s="1" t="s">
        <v>70</v>
      </c>
      <c r="B609" s="1" t="s">
        <v>183</v>
      </c>
      <c r="C609" s="1">
        <v>36</v>
      </c>
      <c r="D609" s="1">
        <v>1</v>
      </c>
      <c r="E609" s="1">
        <v>14</v>
      </c>
      <c r="F609" s="90">
        <v>14</v>
      </c>
    </row>
    <row r="610" spans="1:6" x14ac:dyDescent="0.3">
      <c r="A610" s="1" t="s">
        <v>70</v>
      </c>
      <c r="B610" s="1" t="s">
        <v>159</v>
      </c>
      <c r="C610" s="1">
        <v>41</v>
      </c>
      <c r="D610" s="1">
        <v>5</v>
      </c>
      <c r="E610" s="1">
        <v>10</v>
      </c>
      <c r="F610" s="90">
        <v>2</v>
      </c>
    </row>
    <row r="611" spans="1:6" x14ac:dyDescent="0.3">
      <c r="A611" s="1" t="s">
        <v>70</v>
      </c>
      <c r="B611" s="1" t="s">
        <v>159</v>
      </c>
      <c r="C611" s="1">
        <v>42</v>
      </c>
      <c r="D611" s="1">
        <v>125</v>
      </c>
      <c r="E611" s="1">
        <v>250</v>
      </c>
      <c r="F611" s="90">
        <v>2</v>
      </c>
    </row>
    <row r="612" spans="1:6" x14ac:dyDescent="0.3">
      <c r="A612" s="1" t="s">
        <v>70</v>
      </c>
      <c r="B612" s="1" t="s">
        <v>5</v>
      </c>
      <c r="C612" s="1">
        <v>0</v>
      </c>
      <c r="D612" s="1">
        <v>13</v>
      </c>
      <c r="E612" s="1">
        <v>0</v>
      </c>
      <c r="F612" s="90">
        <v>0</v>
      </c>
    </row>
    <row r="613" spans="1:6" x14ac:dyDescent="0.3">
      <c r="A613" s="1" t="s">
        <v>70</v>
      </c>
      <c r="B613" s="1" t="s">
        <v>5</v>
      </c>
      <c r="C613" s="1">
        <v>10</v>
      </c>
      <c r="D613" s="1">
        <v>7</v>
      </c>
      <c r="E613" s="1">
        <v>0</v>
      </c>
      <c r="F613" s="90">
        <v>0</v>
      </c>
    </row>
    <row r="614" spans="1:6" x14ac:dyDescent="0.3">
      <c r="A614" s="1" t="s">
        <v>70</v>
      </c>
      <c r="B614" s="1" t="s">
        <v>5</v>
      </c>
      <c r="C614" s="1">
        <v>11</v>
      </c>
      <c r="D614" s="1">
        <v>742</v>
      </c>
      <c r="E614" s="1">
        <v>7420</v>
      </c>
      <c r="F614" s="90">
        <v>10</v>
      </c>
    </row>
    <row r="615" spans="1:6" x14ac:dyDescent="0.3">
      <c r="A615" s="1" t="s">
        <v>70</v>
      </c>
      <c r="B615" s="1" t="s">
        <v>5</v>
      </c>
      <c r="C615" s="1">
        <v>12</v>
      </c>
      <c r="D615" s="1">
        <v>1285</v>
      </c>
      <c r="E615" s="1">
        <v>16705</v>
      </c>
      <c r="F615" s="90">
        <v>13</v>
      </c>
    </row>
    <row r="616" spans="1:6" x14ac:dyDescent="0.3">
      <c r="A616" s="1" t="s">
        <v>70</v>
      </c>
      <c r="B616" s="1" t="s">
        <v>5</v>
      </c>
      <c r="C616" s="1">
        <v>13</v>
      </c>
      <c r="D616" s="1">
        <v>3</v>
      </c>
      <c r="E616" s="1">
        <v>27</v>
      </c>
      <c r="F616" s="90">
        <v>9</v>
      </c>
    </row>
    <row r="617" spans="1:6" x14ac:dyDescent="0.3">
      <c r="A617" s="1" t="s">
        <v>70</v>
      </c>
      <c r="B617" s="1" t="s">
        <v>5</v>
      </c>
      <c r="C617" s="1">
        <v>14</v>
      </c>
      <c r="D617" s="1">
        <v>15</v>
      </c>
      <c r="E617" s="1">
        <v>273.5</v>
      </c>
      <c r="F617" s="90">
        <v>18.233333333333299</v>
      </c>
    </row>
    <row r="618" spans="1:6" x14ac:dyDescent="0.3">
      <c r="A618" s="1" t="s">
        <v>70</v>
      </c>
      <c r="B618" s="1" t="s">
        <v>5</v>
      </c>
      <c r="C618" s="1">
        <v>15</v>
      </c>
      <c r="D618" s="1">
        <v>42</v>
      </c>
      <c r="E618" s="1">
        <v>288.3</v>
      </c>
      <c r="F618" s="90">
        <v>6.8642857142857103</v>
      </c>
    </row>
    <row r="619" spans="1:6" x14ac:dyDescent="0.3">
      <c r="A619" s="1" t="s">
        <v>70</v>
      </c>
      <c r="B619" s="1" t="s">
        <v>5</v>
      </c>
      <c r="C619" s="1">
        <v>16</v>
      </c>
      <c r="D619" s="1">
        <v>4</v>
      </c>
      <c r="E619" s="1">
        <v>80.5</v>
      </c>
      <c r="F619" s="90">
        <v>20.125</v>
      </c>
    </row>
    <row r="620" spans="1:6" x14ac:dyDescent="0.3">
      <c r="A620" s="1" t="s">
        <v>71</v>
      </c>
      <c r="B620" s="1" t="s">
        <v>5</v>
      </c>
      <c r="C620" s="1">
        <v>11</v>
      </c>
      <c r="D620" s="1">
        <v>2</v>
      </c>
      <c r="E620" s="1">
        <v>20</v>
      </c>
      <c r="F620" s="90">
        <v>10</v>
      </c>
    </row>
    <row r="621" spans="1:6" x14ac:dyDescent="0.3">
      <c r="A621" s="1" t="s">
        <v>71</v>
      </c>
      <c r="B621" s="1" t="s">
        <v>5</v>
      </c>
      <c r="C621" s="1">
        <v>12</v>
      </c>
      <c r="D621" s="1">
        <v>10</v>
      </c>
      <c r="E621" s="1">
        <v>130</v>
      </c>
      <c r="F621" s="90">
        <v>13</v>
      </c>
    </row>
    <row r="622" spans="1:6" x14ac:dyDescent="0.3">
      <c r="A622" s="1" t="s">
        <v>72</v>
      </c>
      <c r="B622" s="1" t="s">
        <v>184</v>
      </c>
      <c r="C622" s="1">
        <v>0</v>
      </c>
      <c r="D622" s="1">
        <v>5</v>
      </c>
      <c r="E622" s="1">
        <v>0</v>
      </c>
      <c r="F622" s="90">
        <v>0</v>
      </c>
    </row>
    <row r="623" spans="1:6" x14ac:dyDescent="0.3">
      <c r="A623" s="1" t="s">
        <v>72</v>
      </c>
      <c r="B623" s="1" t="s">
        <v>184</v>
      </c>
      <c r="C623" s="1">
        <v>22</v>
      </c>
      <c r="D623" s="1">
        <v>597</v>
      </c>
      <c r="E623" s="1">
        <v>2388</v>
      </c>
      <c r="F623" s="90">
        <v>4</v>
      </c>
    </row>
    <row r="624" spans="1:6" x14ac:dyDescent="0.3">
      <c r="A624" s="1" t="s">
        <v>72</v>
      </c>
      <c r="B624" s="1" t="s">
        <v>184</v>
      </c>
      <c r="C624" s="1">
        <v>25</v>
      </c>
      <c r="D624" s="1">
        <v>18</v>
      </c>
      <c r="E624" s="1">
        <v>54</v>
      </c>
      <c r="F624" s="90">
        <v>3</v>
      </c>
    </row>
    <row r="625" spans="1:6" x14ac:dyDescent="0.3">
      <c r="A625" s="1" t="s">
        <v>72</v>
      </c>
      <c r="B625" s="1" t="s">
        <v>184</v>
      </c>
      <c r="C625" s="1">
        <v>26</v>
      </c>
      <c r="D625" s="1">
        <v>6</v>
      </c>
      <c r="E625" s="1">
        <v>60</v>
      </c>
      <c r="F625" s="90">
        <v>10</v>
      </c>
    </row>
    <row r="626" spans="1:6" x14ac:dyDescent="0.3">
      <c r="A626" s="1" t="s">
        <v>72</v>
      </c>
      <c r="B626" s="1" t="s">
        <v>183</v>
      </c>
      <c r="C626" s="1">
        <v>0</v>
      </c>
      <c r="D626" s="1">
        <v>2</v>
      </c>
      <c r="E626" s="1">
        <v>0</v>
      </c>
      <c r="F626" s="90">
        <v>0</v>
      </c>
    </row>
    <row r="627" spans="1:6" x14ac:dyDescent="0.3">
      <c r="A627" s="1" t="s">
        <v>72</v>
      </c>
      <c r="B627" s="1" t="s">
        <v>183</v>
      </c>
      <c r="C627" s="1">
        <v>32</v>
      </c>
      <c r="D627" s="1">
        <v>820</v>
      </c>
      <c r="E627" s="1">
        <v>8200</v>
      </c>
      <c r="F627" s="90">
        <v>10</v>
      </c>
    </row>
    <row r="628" spans="1:6" x14ac:dyDescent="0.3">
      <c r="A628" s="1" t="s">
        <v>72</v>
      </c>
      <c r="B628" s="1" t="s">
        <v>183</v>
      </c>
      <c r="C628" s="1">
        <v>35</v>
      </c>
      <c r="D628" s="1">
        <v>16</v>
      </c>
      <c r="E628" s="1">
        <v>114.5</v>
      </c>
      <c r="F628" s="90">
        <v>7.15625</v>
      </c>
    </row>
    <row r="629" spans="1:6" x14ac:dyDescent="0.3">
      <c r="A629" s="1" t="s">
        <v>72</v>
      </c>
      <c r="B629" s="1" t="s">
        <v>159</v>
      </c>
      <c r="C629" s="1">
        <v>42</v>
      </c>
      <c r="D629" s="1">
        <v>332</v>
      </c>
      <c r="E629" s="1">
        <v>664</v>
      </c>
      <c r="F629" s="90">
        <v>2</v>
      </c>
    </row>
    <row r="630" spans="1:6" x14ac:dyDescent="0.3">
      <c r="A630" s="1" t="s">
        <v>72</v>
      </c>
      <c r="B630" s="1" t="s">
        <v>5</v>
      </c>
      <c r="C630" s="1">
        <v>0</v>
      </c>
      <c r="D630" s="1">
        <v>17</v>
      </c>
      <c r="E630" s="1">
        <v>0</v>
      </c>
      <c r="F630" s="90">
        <v>0</v>
      </c>
    </row>
    <row r="631" spans="1:6" x14ac:dyDescent="0.3">
      <c r="A631" s="1" t="s">
        <v>72</v>
      </c>
      <c r="B631" s="1" t="s">
        <v>5</v>
      </c>
      <c r="C631" s="1">
        <v>10</v>
      </c>
      <c r="D631" s="1">
        <v>435</v>
      </c>
      <c r="E631" s="1">
        <v>0</v>
      </c>
      <c r="F631" s="90">
        <v>0</v>
      </c>
    </row>
    <row r="632" spans="1:6" x14ac:dyDescent="0.3">
      <c r="A632" s="1" t="s">
        <v>72</v>
      </c>
      <c r="B632" s="1" t="s">
        <v>5</v>
      </c>
      <c r="C632" s="1">
        <v>12</v>
      </c>
      <c r="D632" s="1">
        <v>6062</v>
      </c>
      <c r="E632" s="1">
        <v>78806</v>
      </c>
      <c r="F632" s="90">
        <v>13</v>
      </c>
    </row>
    <row r="633" spans="1:6" x14ac:dyDescent="0.3">
      <c r="A633" s="1" t="s">
        <v>72</v>
      </c>
      <c r="B633" s="1" t="s">
        <v>5</v>
      </c>
      <c r="C633" s="1">
        <v>15</v>
      </c>
      <c r="D633" s="1">
        <v>1056</v>
      </c>
      <c r="E633" s="1">
        <v>10615.7</v>
      </c>
      <c r="F633" s="90">
        <v>10.0527462121212</v>
      </c>
    </row>
    <row r="634" spans="1:6" x14ac:dyDescent="0.3">
      <c r="A634" s="1" t="s">
        <v>72</v>
      </c>
      <c r="B634" s="1" t="s">
        <v>5</v>
      </c>
      <c r="C634" s="1">
        <v>16</v>
      </c>
      <c r="D634" s="1">
        <v>42</v>
      </c>
      <c r="E634" s="1">
        <v>745.1</v>
      </c>
      <c r="F634" s="90">
        <v>17.740476190476201</v>
      </c>
    </row>
    <row r="635" spans="1:6" x14ac:dyDescent="0.3">
      <c r="A635" s="1" t="s">
        <v>73</v>
      </c>
      <c r="B635" s="1" t="s">
        <v>184</v>
      </c>
      <c r="C635" s="1">
        <v>21</v>
      </c>
      <c r="D635" s="1">
        <v>32</v>
      </c>
      <c r="E635" s="1">
        <v>128</v>
      </c>
      <c r="F635" s="90">
        <v>4</v>
      </c>
    </row>
    <row r="636" spans="1:6" x14ac:dyDescent="0.3">
      <c r="A636" s="1" t="s">
        <v>73</v>
      </c>
      <c r="B636" s="1" t="s">
        <v>183</v>
      </c>
      <c r="C636" s="1">
        <v>31</v>
      </c>
      <c r="D636" s="1">
        <v>15</v>
      </c>
      <c r="E636" s="1">
        <v>120</v>
      </c>
      <c r="F636" s="90">
        <v>8</v>
      </c>
    </row>
    <row r="637" spans="1:6" x14ac:dyDescent="0.3">
      <c r="A637" s="1" t="s">
        <v>73</v>
      </c>
      <c r="B637" s="1" t="s">
        <v>183</v>
      </c>
      <c r="C637" s="1">
        <v>33</v>
      </c>
      <c r="D637" s="1">
        <v>8</v>
      </c>
      <c r="E637" s="1">
        <v>48</v>
      </c>
      <c r="F637" s="90">
        <v>6</v>
      </c>
    </row>
    <row r="638" spans="1:6" x14ac:dyDescent="0.3">
      <c r="A638" s="1" t="s">
        <v>73</v>
      </c>
      <c r="B638" s="1" t="s">
        <v>159</v>
      </c>
      <c r="C638" s="1">
        <v>42</v>
      </c>
      <c r="D638" s="1">
        <v>2</v>
      </c>
      <c r="E638" s="1">
        <v>4</v>
      </c>
      <c r="F638" s="90">
        <v>2</v>
      </c>
    </row>
    <row r="639" spans="1:6" x14ac:dyDescent="0.3">
      <c r="A639" s="1" t="s">
        <v>73</v>
      </c>
      <c r="B639" s="1" t="s">
        <v>5</v>
      </c>
      <c r="C639" s="1">
        <v>0</v>
      </c>
      <c r="D639" s="1">
        <v>2</v>
      </c>
      <c r="E639" s="1">
        <v>0</v>
      </c>
      <c r="F639" s="90">
        <v>0</v>
      </c>
    </row>
    <row r="640" spans="1:6" x14ac:dyDescent="0.3">
      <c r="A640" s="1" t="s">
        <v>73</v>
      </c>
      <c r="B640" s="1" t="s">
        <v>5</v>
      </c>
      <c r="C640" s="1">
        <v>11</v>
      </c>
      <c r="D640" s="1">
        <v>74</v>
      </c>
      <c r="E640" s="1">
        <v>518</v>
      </c>
      <c r="F640" s="90">
        <v>7</v>
      </c>
    </row>
    <row r="641" spans="1:6" x14ac:dyDescent="0.3">
      <c r="A641" s="1" t="s">
        <v>73</v>
      </c>
      <c r="B641" s="1" t="s">
        <v>5</v>
      </c>
      <c r="C641" s="1">
        <v>13</v>
      </c>
      <c r="D641" s="1">
        <v>126</v>
      </c>
      <c r="E641" s="1">
        <v>667.79999999999905</v>
      </c>
      <c r="F641" s="90">
        <v>5.3</v>
      </c>
    </row>
    <row r="642" spans="1:6" x14ac:dyDescent="0.3">
      <c r="A642" s="1" t="s">
        <v>73</v>
      </c>
      <c r="B642" s="1" t="s">
        <v>5</v>
      </c>
      <c r="C642" s="1">
        <v>14</v>
      </c>
      <c r="D642" s="1">
        <v>40</v>
      </c>
      <c r="E642" s="1">
        <v>314</v>
      </c>
      <c r="F642" s="90">
        <v>7.85</v>
      </c>
    </row>
    <row r="643" spans="1:6" x14ac:dyDescent="0.3">
      <c r="A643" s="1" t="s">
        <v>74</v>
      </c>
      <c r="B643" s="1" t="s">
        <v>183</v>
      </c>
      <c r="C643" s="1">
        <v>31</v>
      </c>
      <c r="D643" s="1">
        <v>2</v>
      </c>
      <c r="E643" s="1">
        <v>16</v>
      </c>
      <c r="F643" s="90">
        <v>8</v>
      </c>
    </row>
    <row r="644" spans="1:6" x14ac:dyDescent="0.3">
      <c r="A644" s="1" t="s">
        <v>75</v>
      </c>
      <c r="B644" s="1" t="s">
        <v>184</v>
      </c>
      <c r="C644" s="1">
        <v>0</v>
      </c>
      <c r="D644" s="1">
        <v>18</v>
      </c>
      <c r="E644" s="1">
        <v>0</v>
      </c>
      <c r="F644" s="90">
        <v>0</v>
      </c>
    </row>
    <row r="645" spans="1:6" x14ac:dyDescent="0.3">
      <c r="A645" s="1" t="s">
        <v>75</v>
      </c>
      <c r="B645" s="1" t="s">
        <v>184</v>
      </c>
      <c r="C645" s="1">
        <v>21</v>
      </c>
      <c r="D645" s="1">
        <v>345</v>
      </c>
      <c r="E645" s="1">
        <v>1380</v>
      </c>
      <c r="F645" s="90">
        <v>4</v>
      </c>
    </row>
    <row r="646" spans="1:6" x14ac:dyDescent="0.3">
      <c r="A646" s="1" t="s">
        <v>75</v>
      </c>
      <c r="B646" s="1" t="s">
        <v>184</v>
      </c>
      <c r="C646" s="1">
        <v>22</v>
      </c>
      <c r="D646" s="1">
        <v>633</v>
      </c>
      <c r="E646" s="1">
        <v>2532</v>
      </c>
      <c r="F646" s="90">
        <v>4</v>
      </c>
    </row>
    <row r="647" spans="1:6" x14ac:dyDescent="0.3">
      <c r="A647" s="1" t="s">
        <v>75</v>
      </c>
      <c r="B647" s="1" t="s">
        <v>183</v>
      </c>
      <c r="C647" s="1">
        <v>0</v>
      </c>
      <c r="D647" s="1">
        <v>4</v>
      </c>
      <c r="E647" s="1">
        <v>0</v>
      </c>
      <c r="F647" s="90">
        <v>0</v>
      </c>
    </row>
    <row r="648" spans="1:6" x14ac:dyDescent="0.3">
      <c r="A648" s="1" t="s">
        <v>75</v>
      </c>
      <c r="B648" s="1" t="s">
        <v>183</v>
      </c>
      <c r="C648" s="1">
        <v>31</v>
      </c>
      <c r="D648" s="1">
        <v>399</v>
      </c>
      <c r="E648" s="1">
        <v>3192</v>
      </c>
      <c r="F648" s="90">
        <v>8</v>
      </c>
    </row>
    <row r="649" spans="1:6" x14ac:dyDescent="0.3">
      <c r="A649" s="1" t="s">
        <v>75</v>
      </c>
      <c r="B649" s="1" t="s">
        <v>183</v>
      </c>
      <c r="C649" s="1">
        <v>32</v>
      </c>
      <c r="D649" s="1">
        <v>998</v>
      </c>
      <c r="E649" s="1">
        <v>9980</v>
      </c>
      <c r="F649" s="90">
        <v>10</v>
      </c>
    </row>
    <row r="650" spans="1:6" x14ac:dyDescent="0.3">
      <c r="A650" s="1" t="s">
        <v>75</v>
      </c>
      <c r="B650" s="1" t="s">
        <v>183</v>
      </c>
      <c r="C650" s="1">
        <v>35</v>
      </c>
      <c r="D650" s="1">
        <v>4</v>
      </c>
      <c r="E650" s="1">
        <v>34.6</v>
      </c>
      <c r="F650" s="90">
        <v>8.65</v>
      </c>
    </row>
    <row r="651" spans="1:6" x14ac:dyDescent="0.3">
      <c r="A651" s="1" t="s">
        <v>75</v>
      </c>
      <c r="B651" s="1" t="s">
        <v>159</v>
      </c>
      <c r="C651" s="1">
        <v>41</v>
      </c>
      <c r="D651" s="1">
        <v>15</v>
      </c>
      <c r="E651" s="1">
        <v>30</v>
      </c>
      <c r="F651" s="90">
        <v>2</v>
      </c>
    </row>
    <row r="652" spans="1:6" x14ac:dyDescent="0.3">
      <c r="A652" s="1" t="s">
        <v>75</v>
      </c>
      <c r="B652" s="1" t="s">
        <v>159</v>
      </c>
      <c r="C652" s="1">
        <v>42</v>
      </c>
      <c r="D652" s="1">
        <v>214</v>
      </c>
      <c r="E652" s="1">
        <v>428</v>
      </c>
      <c r="F652" s="90">
        <v>2</v>
      </c>
    </row>
    <row r="653" spans="1:6" x14ac:dyDescent="0.3">
      <c r="A653" s="1" t="s">
        <v>75</v>
      </c>
      <c r="B653" s="1" t="s">
        <v>5</v>
      </c>
      <c r="C653" s="1">
        <v>0</v>
      </c>
      <c r="D653" s="1">
        <v>68</v>
      </c>
      <c r="E653" s="1">
        <v>0</v>
      </c>
      <c r="F653" s="90">
        <v>0</v>
      </c>
    </row>
    <row r="654" spans="1:6" x14ac:dyDescent="0.3">
      <c r="A654" s="1" t="s">
        <v>75</v>
      </c>
      <c r="B654" s="1" t="s">
        <v>5</v>
      </c>
      <c r="C654" s="1">
        <v>11</v>
      </c>
      <c r="D654" s="1">
        <v>1046</v>
      </c>
      <c r="E654" s="1">
        <v>7322</v>
      </c>
      <c r="F654" s="90">
        <v>7</v>
      </c>
    </row>
    <row r="655" spans="1:6" x14ac:dyDescent="0.3">
      <c r="A655" s="1" t="s">
        <v>75</v>
      </c>
      <c r="B655" s="1" t="s">
        <v>5</v>
      </c>
      <c r="C655" s="1">
        <v>12</v>
      </c>
      <c r="D655" s="1">
        <v>3839</v>
      </c>
      <c r="E655" s="1">
        <v>49907</v>
      </c>
      <c r="F655" s="90">
        <v>13</v>
      </c>
    </row>
    <row r="656" spans="1:6" x14ac:dyDescent="0.3">
      <c r="A656" s="1" t="s">
        <v>75</v>
      </c>
      <c r="B656" s="1" t="s">
        <v>5</v>
      </c>
      <c r="C656" s="1">
        <v>13</v>
      </c>
      <c r="D656" s="1">
        <v>16</v>
      </c>
      <c r="E656" s="1">
        <v>81.2</v>
      </c>
      <c r="F656" s="90">
        <v>5.0750000000000002</v>
      </c>
    </row>
    <row r="657" spans="1:6" x14ac:dyDescent="0.3">
      <c r="A657" s="1" t="s">
        <v>75</v>
      </c>
      <c r="B657" s="1" t="s">
        <v>5</v>
      </c>
      <c r="C657" s="1">
        <v>14</v>
      </c>
      <c r="D657" s="1">
        <v>10</v>
      </c>
      <c r="E657" s="1">
        <v>115.8</v>
      </c>
      <c r="F657" s="90">
        <v>11.58</v>
      </c>
    </row>
    <row r="658" spans="1:6" x14ac:dyDescent="0.3">
      <c r="A658" s="1" t="s">
        <v>75</v>
      </c>
      <c r="B658" s="1" t="s">
        <v>5</v>
      </c>
      <c r="C658" s="1">
        <v>15</v>
      </c>
      <c r="D658" s="1">
        <v>134</v>
      </c>
      <c r="E658" s="1">
        <v>1168.5</v>
      </c>
      <c r="F658" s="90">
        <v>8.7201492537313303</v>
      </c>
    </row>
    <row r="659" spans="1:6" x14ac:dyDescent="0.3">
      <c r="A659" s="1" t="s">
        <v>75</v>
      </c>
      <c r="B659" s="1" t="s">
        <v>5</v>
      </c>
      <c r="C659" s="1">
        <v>16</v>
      </c>
      <c r="D659" s="1">
        <v>13</v>
      </c>
      <c r="E659" s="1">
        <v>294.89999999999998</v>
      </c>
      <c r="F659" s="90">
        <v>22.684615384615402</v>
      </c>
    </row>
    <row r="660" spans="1:6" x14ac:dyDescent="0.3">
      <c r="A660" s="1" t="s">
        <v>76</v>
      </c>
      <c r="B660" s="1" t="s">
        <v>184</v>
      </c>
      <c r="C660" s="1">
        <v>0</v>
      </c>
      <c r="D660" s="1">
        <v>19</v>
      </c>
      <c r="E660" s="1">
        <v>0</v>
      </c>
      <c r="F660" s="90">
        <v>0</v>
      </c>
    </row>
    <row r="661" spans="1:6" x14ac:dyDescent="0.3">
      <c r="A661" s="1" t="s">
        <v>76</v>
      </c>
      <c r="B661" s="1" t="s">
        <v>184</v>
      </c>
      <c r="C661" s="1">
        <v>21</v>
      </c>
      <c r="D661" s="1">
        <v>152</v>
      </c>
      <c r="E661" s="1">
        <v>608</v>
      </c>
      <c r="F661" s="90">
        <v>4</v>
      </c>
    </row>
    <row r="662" spans="1:6" x14ac:dyDescent="0.3">
      <c r="A662" s="1" t="s">
        <v>76</v>
      </c>
      <c r="B662" s="1" t="s">
        <v>184</v>
      </c>
      <c r="C662" s="1">
        <v>22</v>
      </c>
      <c r="D662" s="1">
        <v>263</v>
      </c>
      <c r="E662" s="1">
        <v>1052</v>
      </c>
      <c r="F662" s="90">
        <v>4</v>
      </c>
    </row>
    <row r="663" spans="1:6" x14ac:dyDescent="0.3">
      <c r="A663" s="1" t="s">
        <v>76</v>
      </c>
      <c r="B663" s="1" t="s">
        <v>183</v>
      </c>
      <c r="C663" s="1">
        <v>0</v>
      </c>
      <c r="D663" s="1">
        <v>7</v>
      </c>
      <c r="E663" s="1">
        <v>0</v>
      </c>
      <c r="F663" s="90">
        <v>0</v>
      </c>
    </row>
    <row r="664" spans="1:6" x14ac:dyDescent="0.3">
      <c r="A664" s="1" t="s">
        <v>76</v>
      </c>
      <c r="B664" s="1" t="s">
        <v>183</v>
      </c>
      <c r="C664" s="1">
        <v>31</v>
      </c>
      <c r="D664" s="1">
        <v>157</v>
      </c>
      <c r="E664" s="1">
        <v>1256</v>
      </c>
      <c r="F664" s="90">
        <v>8</v>
      </c>
    </row>
    <row r="665" spans="1:6" x14ac:dyDescent="0.3">
      <c r="A665" s="1" t="s">
        <v>76</v>
      </c>
      <c r="B665" s="1" t="s">
        <v>183</v>
      </c>
      <c r="C665" s="1">
        <v>32</v>
      </c>
      <c r="D665" s="1">
        <v>362</v>
      </c>
      <c r="E665" s="1">
        <v>3620</v>
      </c>
      <c r="F665" s="90">
        <v>10</v>
      </c>
    </row>
    <row r="666" spans="1:6" x14ac:dyDescent="0.3">
      <c r="A666" s="1" t="s">
        <v>76</v>
      </c>
      <c r="B666" s="1" t="s">
        <v>183</v>
      </c>
      <c r="C666" s="1">
        <v>36</v>
      </c>
      <c r="D666" s="1">
        <v>1</v>
      </c>
      <c r="E666" s="1">
        <v>15</v>
      </c>
      <c r="F666" s="90">
        <v>15</v>
      </c>
    </row>
    <row r="667" spans="1:6" x14ac:dyDescent="0.3">
      <c r="A667" s="1" t="s">
        <v>76</v>
      </c>
      <c r="B667" s="1" t="s">
        <v>159</v>
      </c>
      <c r="C667" s="1">
        <v>41</v>
      </c>
      <c r="D667" s="1">
        <v>5</v>
      </c>
      <c r="E667" s="1">
        <v>10</v>
      </c>
      <c r="F667" s="90">
        <v>2</v>
      </c>
    </row>
    <row r="668" spans="1:6" x14ac:dyDescent="0.3">
      <c r="A668" s="1" t="s">
        <v>76</v>
      </c>
      <c r="B668" s="1" t="s">
        <v>159</v>
      </c>
      <c r="C668" s="1">
        <v>42</v>
      </c>
      <c r="D668" s="1">
        <v>90</v>
      </c>
      <c r="E668" s="1">
        <v>180</v>
      </c>
      <c r="F668" s="90">
        <v>2</v>
      </c>
    </row>
    <row r="669" spans="1:6" x14ac:dyDescent="0.3">
      <c r="A669" s="1" t="s">
        <v>76</v>
      </c>
      <c r="B669" s="1" t="s">
        <v>5</v>
      </c>
      <c r="C669" s="1">
        <v>0</v>
      </c>
      <c r="D669" s="1">
        <v>168</v>
      </c>
      <c r="E669" s="1">
        <v>0</v>
      </c>
      <c r="F669" s="90">
        <v>0</v>
      </c>
    </row>
    <row r="670" spans="1:6" x14ac:dyDescent="0.3">
      <c r="A670" s="1" t="s">
        <v>76</v>
      </c>
      <c r="B670" s="1" t="s">
        <v>5</v>
      </c>
      <c r="C670" s="1">
        <v>11</v>
      </c>
      <c r="D670" s="1">
        <v>1000</v>
      </c>
      <c r="E670" s="1">
        <v>7000</v>
      </c>
      <c r="F670" s="90">
        <v>7</v>
      </c>
    </row>
    <row r="671" spans="1:6" x14ac:dyDescent="0.3">
      <c r="A671" s="1" t="s">
        <v>76</v>
      </c>
      <c r="B671" s="1" t="s">
        <v>5</v>
      </c>
      <c r="C671" s="1">
        <v>12</v>
      </c>
      <c r="D671" s="1">
        <v>2425</v>
      </c>
      <c r="E671" s="1">
        <v>26675</v>
      </c>
      <c r="F671" s="90">
        <v>11</v>
      </c>
    </row>
    <row r="672" spans="1:6" x14ac:dyDescent="0.3">
      <c r="A672" s="1" t="s">
        <v>76</v>
      </c>
      <c r="B672" s="1" t="s">
        <v>5</v>
      </c>
      <c r="C672" s="1">
        <v>13</v>
      </c>
      <c r="D672" s="1">
        <v>5</v>
      </c>
      <c r="E672" s="1">
        <v>27.2</v>
      </c>
      <c r="F672" s="90">
        <v>5.44</v>
      </c>
    </row>
    <row r="673" spans="1:6" x14ac:dyDescent="0.3">
      <c r="A673" s="1" t="s">
        <v>76</v>
      </c>
      <c r="B673" s="1" t="s">
        <v>5</v>
      </c>
      <c r="C673" s="1">
        <v>14</v>
      </c>
      <c r="D673" s="1">
        <v>19</v>
      </c>
      <c r="E673" s="1">
        <v>273.10000000000002</v>
      </c>
      <c r="F673" s="90">
        <v>14.373684210526299</v>
      </c>
    </row>
    <row r="674" spans="1:6" x14ac:dyDescent="0.3">
      <c r="A674" s="1" t="s">
        <v>76</v>
      </c>
      <c r="B674" s="1" t="s">
        <v>5</v>
      </c>
      <c r="C674" s="1">
        <v>15</v>
      </c>
      <c r="D674" s="1">
        <v>42</v>
      </c>
      <c r="E674" s="1">
        <v>310.60000000000002</v>
      </c>
      <c r="F674" s="90">
        <v>7.3952380952381001</v>
      </c>
    </row>
    <row r="675" spans="1:6" x14ac:dyDescent="0.3">
      <c r="A675" s="1" t="s">
        <v>76</v>
      </c>
      <c r="B675" s="1" t="s">
        <v>5</v>
      </c>
      <c r="C675" s="1">
        <v>16</v>
      </c>
      <c r="D675" s="1">
        <v>29</v>
      </c>
      <c r="E675" s="1">
        <v>595</v>
      </c>
      <c r="F675" s="90">
        <v>20.517241379310299</v>
      </c>
    </row>
    <row r="676" spans="1:6" x14ac:dyDescent="0.3">
      <c r="A676" s="1" t="s">
        <v>77</v>
      </c>
      <c r="B676" s="1" t="s">
        <v>184</v>
      </c>
      <c r="C676" s="1">
        <v>0</v>
      </c>
      <c r="D676" s="1">
        <v>23</v>
      </c>
      <c r="E676" s="1">
        <v>0</v>
      </c>
      <c r="F676" s="90">
        <v>0</v>
      </c>
    </row>
    <row r="677" spans="1:6" x14ac:dyDescent="0.3">
      <c r="A677" s="1" t="s">
        <v>77</v>
      </c>
      <c r="B677" s="1" t="s">
        <v>184</v>
      </c>
      <c r="C677" s="1">
        <v>21</v>
      </c>
      <c r="D677" s="1">
        <v>332</v>
      </c>
      <c r="E677" s="1">
        <v>1328</v>
      </c>
      <c r="F677" s="90">
        <v>4</v>
      </c>
    </row>
    <row r="678" spans="1:6" x14ac:dyDescent="0.3">
      <c r="A678" s="1" t="s">
        <v>77</v>
      </c>
      <c r="B678" s="1" t="s">
        <v>184</v>
      </c>
      <c r="C678" s="1">
        <v>22</v>
      </c>
      <c r="D678" s="1">
        <v>672</v>
      </c>
      <c r="E678" s="1">
        <v>2688</v>
      </c>
      <c r="F678" s="90">
        <v>4</v>
      </c>
    </row>
    <row r="679" spans="1:6" x14ac:dyDescent="0.3">
      <c r="A679" s="1" t="s">
        <v>77</v>
      </c>
      <c r="B679" s="1" t="s">
        <v>183</v>
      </c>
      <c r="C679" s="1">
        <v>0</v>
      </c>
      <c r="D679" s="1">
        <v>14</v>
      </c>
      <c r="E679" s="1">
        <v>0</v>
      </c>
      <c r="F679" s="90">
        <v>0</v>
      </c>
    </row>
    <row r="680" spans="1:6" x14ac:dyDescent="0.3">
      <c r="A680" s="1" t="s">
        <v>77</v>
      </c>
      <c r="B680" s="1" t="s">
        <v>183</v>
      </c>
      <c r="C680" s="1">
        <v>31</v>
      </c>
      <c r="D680" s="1">
        <v>506</v>
      </c>
      <c r="E680" s="1">
        <v>4048</v>
      </c>
      <c r="F680" s="90">
        <v>8</v>
      </c>
    </row>
    <row r="681" spans="1:6" x14ac:dyDescent="0.3">
      <c r="A681" s="1" t="s">
        <v>77</v>
      </c>
      <c r="B681" s="1" t="s">
        <v>183</v>
      </c>
      <c r="C681" s="1">
        <v>32</v>
      </c>
      <c r="D681" s="1">
        <v>1038</v>
      </c>
      <c r="E681" s="1">
        <v>10380</v>
      </c>
      <c r="F681" s="90">
        <v>10</v>
      </c>
    </row>
    <row r="682" spans="1:6" x14ac:dyDescent="0.3">
      <c r="A682" s="1" t="s">
        <v>77</v>
      </c>
      <c r="B682" s="1" t="s">
        <v>183</v>
      </c>
      <c r="C682" s="1">
        <v>33</v>
      </c>
      <c r="D682" s="1">
        <v>2</v>
      </c>
      <c r="E682" s="1">
        <v>12</v>
      </c>
      <c r="F682" s="90">
        <v>6</v>
      </c>
    </row>
    <row r="683" spans="1:6" x14ac:dyDescent="0.3">
      <c r="A683" s="1" t="s">
        <v>77</v>
      </c>
      <c r="B683" s="1" t="s">
        <v>159</v>
      </c>
      <c r="C683" s="1">
        <v>41</v>
      </c>
      <c r="D683" s="1">
        <v>9</v>
      </c>
      <c r="E683" s="1">
        <v>18</v>
      </c>
      <c r="F683" s="90">
        <v>2</v>
      </c>
    </row>
    <row r="684" spans="1:6" x14ac:dyDescent="0.3">
      <c r="A684" s="1" t="s">
        <v>77</v>
      </c>
      <c r="B684" s="1" t="s">
        <v>159</v>
      </c>
      <c r="C684" s="1">
        <v>42</v>
      </c>
      <c r="D684" s="1">
        <v>168</v>
      </c>
      <c r="E684" s="1">
        <v>336</v>
      </c>
      <c r="F684" s="90">
        <v>2</v>
      </c>
    </row>
    <row r="685" spans="1:6" x14ac:dyDescent="0.3">
      <c r="A685" s="1" t="s">
        <v>77</v>
      </c>
      <c r="B685" s="1" t="s">
        <v>5</v>
      </c>
      <c r="C685" s="1">
        <v>0</v>
      </c>
      <c r="D685" s="1">
        <v>178</v>
      </c>
      <c r="E685" s="1">
        <v>0</v>
      </c>
      <c r="F685" s="90">
        <v>0</v>
      </c>
    </row>
    <row r="686" spans="1:6" x14ac:dyDescent="0.3">
      <c r="A686" s="1" t="s">
        <v>77</v>
      </c>
      <c r="B686" s="1" t="s">
        <v>5</v>
      </c>
      <c r="C686" s="1">
        <v>11</v>
      </c>
      <c r="D686" s="1">
        <v>1864</v>
      </c>
      <c r="E686" s="1">
        <v>13048</v>
      </c>
      <c r="F686" s="90">
        <v>7</v>
      </c>
    </row>
    <row r="687" spans="1:6" x14ac:dyDescent="0.3">
      <c r="A687" s="1" t="s">
        <v>77</v>
      </c>
      <c r="B687" s="1" t="s">
        <v>5</v>
      </c>
      <c r="C687" s="1">
        <v>12</v>
      </c>
      <c r="D687" s="1">
        <v>4061</v>
      </c>
      <c r="E687" s="1">
        <v>48732</v>
      </c>
      <c r="F687" s="90">
        <v>12</v>
      </c>
    </row>
    <row r="688" spans="1:6" x14ac:dyDescent="0.3">
      <c r="A688" s="1" t="s">
        <v>77</v>
      </c>
      <c r="B688" s="1" t="s">
        <v>5</v>
      </c>
      <c r="C688" s="1">
        <v>13</v>
      </c>
      <c r="D688" s="1">
        <v>4</v>
      </c>
      <c r="E688" s="1">
        <v>18.899999999999999</v>
      </c>
      <c r="F688" s="90">
        <v>4.7249999999999996</v>
      </c>
    </row>
    <row r="689" spans="1:6" x14ac:dyDescent="0.3">
      <c r="A689" s="1" t="s">
        <v>77</v>
      </c>
      <c r="B689" s="1" t="s">
        <v>5</v>
      </c>
      <c r="C689" s="1">
        <v>14</v>
      </c>
      <c r="D689" s="1">
        <v>31</v>
      </c>
      <c r="E689" s="1">
        <v>503.8</v>
      </c>
      <c r="F689" s="90">
        <v>16.251612903225801</v>
      </c>
    </row>
    <row r="690" spans="1:6" x14ac:dyDescent="0.3">
      <c r="A690" s="1" t="s">
        <v>77</v>
      </c>
      <c r="B690" s="1" t="s">
        <v>5</v>
      </c>
      <c r="C690" s="1">
        <v>15</v>
      </c>
      <c r="D690" s="1">
        <v>29</v>
      </c>
      <c r="E690" s="1">
        <v>175</v>
      </c>
      <c r="F690" s="90">
        <v>6.0344827586206904</v>
      </c>
    </row>
    <row r="691" spans="1:6" x14ac:dyDescent="0.3">
      <c r="A691" s="1" t="s">
        <v>77</v>
      </c>
      <c r="B691" s="1" t="s">
        <v>5</v>
      </c>
      <c r="C691" s="1">
        <v>16</v>
      </c>
      <c r="D691" s="1">
        <v>32</v>
      </c>
      <c r="E691" s="1">
        <v>662.5</v>
      </c>
      <c r="F691" s="90">
        <v>20.703125</v>
      </c>
    </row>
    <row r="692" spans="1:6" x14ac:dyDescent="0.3">
      <c r="A692" s="1" t="s">
        <v>78</v>
      </c>
      <c r="B692" s="1" t="s">
        <v>184</v>
      </c>
      <c r="C692" s="1">
        <v>0</v>
      </c>
      <c r="D692" s="1">
        <v>1</v>
      </c>
      <c r="E692" s="1">
        <v>0</v>
      </c>
      <c r="F692" s="90">
        <v>0</v>
      </c>
    </row>
    <row r="693" spans="1:6" x14ac:dyDescent="0.3">
      <c r="A693" s="1" t="s">
        <v>78</v>
      </c>
      <c r="B693" s="1" t="s">
        <v>184</v>
      </c>
      <c r="C693" s="1">
        <v>21</v>
      </c>
      <c r="D693" s="1">
        <v>6</v>
      </c>
      <c r="E693" s="1">
        <v>24</v>
      </c>
      <c r="F693" s="90">
        <v>4</v>
      </c>
    </row>
    <row r="694" spans="1:6" x14ac:dyDescent="0.3">
      <c r="A694" s="1" t="s">
        <v>78</v>
      </c>
      <c r="B694" s="1" t="s">
        <v>184</v>
      </c>
      <c r="C694" s="1">
        <v>22</v>
      </c>
      <c r="D694" s="1">
        <v>46</v>
      </c>
      <c r="E694" s="1">
        <v>184</v>
      </c>
      <c r="F694" s="90">
        <v>4</v>
      </c>
    </row>
    <row r="695" spans="1:6" x14ac:dyDescent="0.3">
      <c r="A695" s="1" t="s">
        <v>78</v>
      </c>
      <c r="B695" s="1" t="s">
        <v>184</v>
      </c>
      <c r="C695" s="1">
        <v>26</v>
      </c>
      <c r="D695" s="1">
        <v>1</v>
      </c>
      <c r="E695" s="1">
        <v>15</v>
      </c>
      <c r="F695" s="90">
        <v>15</v>
      </c>
    </row>
    <row r="696" spans="1:6" x14ac:dyDescent="0.3">
      <c r="A696" s="1" t="s">
        <v>78</v>
      </c>
      <c r="B696" s="1" t="s">
        <v>183</v>
      </c>
      <c r="C696" s="1">
        <v>31</v>
      </c>
      <c r="D696" s="1">
        <v>1</v>
      </c>
      <c r="E696" s="1">
        <v>8</v>
      </c>
      <c r="F696" s="90">
        <v>8</v>
      </c>
    </row>
    <row r="697" spans="1:6" x14ac:dyDescent="0.3">
      <c r="A697" s="1" t="s">
        <v>78</v>
      </c>
      <c r="B697" s="1" t="s">
        <v>183</v>
      </c>
      <c r="C697" s="1">
        <v>35</v>
      </c>
      <c r="D697" s="1">
        <v>9</v>
      </c>
      <c r="E697" s="1">
        <v>54</v>
      </c>
      <c r="F697" s="90">
        <v>6</v>
      </c>
    </row>
    <row r="698" spans="1:6" x14ac:dyDescent="0.3">
      <c r="A698" s="1" t="s">
        <v>78</v>
      </c>
      <c r="B698" s="1" t="s">
        <v>5</v>
      </c>
      <c r="C698" s="1">
        <v>0</v>
      </c>
      <c r="D698" s="1">
        <v>126</v>
      </c>
      <c r="E698" s="1">
        <v>0</v>
      </c>
      <c r="F698" s="90">
        <v>0</v>
      </c>
    </row>
    <row r="699" spans="1:6" x14ac:dyDescent="0.3">
      <c r="A699" s="1" t="s">
        <v>78</v>
      </c>
      <c r="B699" s="1" t="s">
        <v>5</v>
      </c>
      <c r="C699" s="1">
        <v>11</v>
      </c>
      <c r="D699" s="1">
        <v>117</v>
      </c>
      <c r="E699" s="1">
        <v>819</v>
      </c>
      <c r="F699" s="90">
        <v>7</v>
      </c>
    </row>
    <row r="700" spans="1:6" x14ac:dyDescent="0.3">
      <c r="A700" s="1" t="s">
        <v>78</v>
      </c>
      <c r="B700" s="1" t="s">
        <v>5</v>
      </c>
      <c r="C700" s="1">
        <v>12</v>
      </c>
      <c r="D700" s="1">
        <v>1560</v>
      </c>
      <c r="E700" s="1">
        <v>9360</v>
      </c>
      <c r="F700" s="90">
        <v>6</v>
      </c>
    </row>
    <row r="701" spans="1:6" x14ac:dyDescent="0.3">
      <c r="A701" s="1" t="s">
        <v>78</v>
      </c>
      <c r="B701" s="1" t="s">
        <v>5</v>
      </c>
      <c r="C701" s="1">
        <v>14</v>
      </c>
      <c r="D701" s="1">
        <v>1</v>
      </c>
      <c r="E701" s="1">
        <v>18.5</v>
      </c>
      <c r="F701" s="90">
        <v>18.5</v>
      </c>
    </row>
    <row r="702" spans="1:6" x14ac:dyDescent="0.3">
      <c r="A702" s="1" t="s">
        <v>78</v>
      </c>
      <c r="B702" s="1" t="s">
        <v>5</v>
      </c>
      <c r="C702" s="1">
        <v>15</v>
      </c>
      <c r="D702" s="1">
        <v>7</v>
      </c>
      <c r="E702" s="1">
        <v>29</v>
      </c>
      <c r="F702" s="90">
        <v>4.1428571428571397</v>
      </c>
    </row>
    <row r="703" spans="1:6" x14ac:dyDescent="0.3">
      <c r="A703" s="1" t="s">
        <v>78</v>
      </c>
      <c r="B703" s="1" t="s">
        <v>5</v>
      </c>
      <c r="C703" s="1">
        <v>16</v>
      </c>
      <c r="D703" s="1">
        <v>138</v>
      </c>
      <c r="E703" s="1">
        <v>1027.3</v>
      </c>
      <c r="F703" s="90">
        <v>7.4442028985507198</v>
      </c>
    </row>
    <row r="704" spans="1:6" x14ac:dyDescent="0.3">
      <c r="A704" s="1" t="s">
        <v>79</v>
      </c>
      <c r="B704" s="1" t="s">
        <v>184</v>
      </c>
      <c r="C704" s="1">
        <v>0</v>
      </c>
      <c r="D704" s="1">
        <v>16</v>
      </c>
      <c r="E704" s="1">
        <v>0</v>
      </c>
      <c r="F704" s="90">
        <v>0</v>
      </c>
    </row>
    <row r="705" spans="1:6" x14ac:dyDescent="0.3">
      <c r="A705" s="1" t="s">
        <v>79</v>
      </c>
      <c r="B705" s="1" t="s">
        <v>184</v>
      </c>
      <c r="C705" s="1">
        <v>21</v>
      </c>
      <c r="D705" s="1">
        <v>75</v>
      </c>
      <c r="E705" s="1">
        <v>300</v>
      </c>
      <c r="F705" s="90">
        <v>4</v>
      </c>
    </row>
    <row r="706" spans="1:6" x14ac:dyDescent="0.3">
      <c r="A706" s="1" t="s">
        <v>79</v>
      </c>
      <c r="B706" s="1" t="s">
        <v>184</v>
      </c>
      <c r="C706" s="1">
        <v>22</v>
      </c>
      <c r="D706" s="1">
        <v>184</v>
      </c>
      <c r="E706" s="1">
        <v>736</v>
      </c>
      <c r="F706" s="90">
        <v>4</v>
      </c>
    </row>
    <row r="707" spans="1:6" x14ac:dyDescent="0.3">
      <c r="A707" s="1" t="s">
        <v>79</v>
      </c>
      <c r="B707" s="1" t="s">
        <v>183</v>
      </c>
      <c r="C707" s="1">
        <v>0</v>
      </c>
      <c r="D707" s="1">
        <v>10</v>
      </c>
      <c r="E707" s="1">
        <v>0</v>
      </c>
      <c r="F707" s="90">
        <v>0</v>
      </c>
    </row>
    <row r="708" spans="1:6" x14ac:dyDescent="0.3">
      <c r="A708" s="1" t="s">
        <v>79</v>
      </c>
      <c r="B708" s="1" t="s">
        <v>183</v>
      </c>
      <c r="C708" s="1">
        <v>31</v>
      </c>
      <c r="D708" s="1">
        <v>70</v>
      </c>
      <c r="E708" s="1">
        <v>560</v>
      </c>
      <c r="F708" s="90">
        <v>8</v>
      </c>
    </row>
    <row r="709" spans="1:6" x14ac:dyDescent="0.3">
      <c r="A709" s="1" t="s">
        <v>79</v>
      </c>
      <c r="B709" s="1" t="s">
        <v>183</v>
      </c>
      <c r="C709" s="1">
        <v>32</v>
      </c>
      <c r="D709" s="1">
        <v>53</v>
      </c>
      <c r="E709" s="1">
        <v>530</v>
      </c>
      <c r="F709" s="90">
        <v>10</v>
      </c>
    </row>
    <row r="710" spans="1:6" x14ac:dyDescent="0.3">
      <c r="A710" s="1" t="s">
        <v>79</v>
      </c>
      <c r="B710" s="1" t="s">
        <v>183</v>
      </c>
      <c r="C710" s="1">
        <v>35</v>
      </c>
      <c r="D710" s="1">
        <v>206</v>
      </c>
      <c r="E710" s="1">
        <v>1642</v>
      </c>
      <c r="F710" s="90">
        <v>7.9708737864077701</v>
      </c>
    </row>
    <row r="711" spans="1:6" x14ac:dyDescent="0.3">
      <c r="A711" s="1" t="s">
        <v>79</v>
      </c>
      <c r="B711" s="1" t="s">
        <v>159</v>
      </c>
      <c r="C711" s="1">
        <v>41</v>
      </c>
      <c r="D711" s="1">
        <v>1</v>
      </c>
      <c r="E711" s="1">
        <v>2</v>
      </c>
      <c r="F711" s="90">
        <v>2</v>
      </c>
    </row>
    <row r="712" spans="1:6" x14ac:dyDescent="0.3">
      <c r="A712" s="1" t="s">
        <v>79</v>
      </c>
      <c r="B712" s="1" t="s">
        <v>159</v>
      </c>
      <c r="C712" s="1">
        <v>42</v>
      </c>
      <c r="D712" s="1">
        <v>105</v>
      </c>
      <c r="E712" s="1">
        <v>210</v>
      </c>
      <c r="F712" s="90">
        <v>2</v>
      </c>
    </row>
    <row r="713" spans="1:6" x14ac:dyDescent="0.3">
      <c r="A713" s="1" t="s">
        <v>79</v>
      </c>
      <c r="B713" s="1" t="s">
        <v>5</v>
      </c>
      <c r="C713" s="1">
        <v>0</v>
      </c>
      <c r="D713" s="1">
        <v>1001</v>
      </c>
      <c r="E713" s="1">
        <v>0</v>
      </c>
      <c r="F713" s="90">
        <v>0</v>
      </c>
    </row>
    <row r="714" spans="1:6" x14ac:dyDescent="0.3">
      <c r="A714" s="1" t="s">
        <v>79</v>
      </c>
      <c r="B714" s="1" t="s">
        <v>5</v>
      </c>
      <c r="C714" s="1">
        <v>11</v>
      </c>
      <c r="D714" s="1">
        <v>668</v>
      </c>
      <c r="E714" s="1">
        <v>4676</v>
      </c>
      <c r="F714" s="90">
        <v>7</v>
      </c>
    </row>
    <row r="715" spans="1:6" x14ac:dyDescent="0.3">
      <c r="A715" s="1" t="s">
        <v>79</v>
      </c>
      <c r="B715" s="1" t="s">
        <v>5</v>
      </c>
      <c r="C715" s="1">
        <v>12</v>
      </c>
      <c r="D715" s="1">
        <v>8231</v>
      </c>
      <c r="E715" s="1">
        <v>65848</v>
      </c>
      <c r="F715" s="90">
        <v>8</v>
      </c>
    </row>
    <row r="716" spans="1:6" x14ac:dyDescent="0.3">
      <c r="A716" s="1" t="s">
        <v>79</v>
      </c>
      <c r="B716" s="1" t="s">
        <v>5</v>
      </c>
      <c r="C716" s="1">
        <v>13</v>
      </c>
      <c r="D716" s="1">
        <v>9</v>
      </c>
      <c r="E716" s="1">
        <v>50.6</v>
      </c>
      <c r="F716" s="90">
        <v>5.62222222222222</v>
      </c>
    </row>
    <row r="717" spans="1:6" x14ac:dyDescent="0.3">
      <c r="A717" s="1" t="s">
        <v>79</v>
      </c>
      <c r="B717" s="1" t="s">
        <v>5</v>
      </c>
      <c r="C717" s="1">
        <v>14</v>
      </c>
      <c r="D717" s="1">
        <v>8</v>
      </c>
      <c r="E717" s="1">
        <v>124</v>
      </c>
      <c r="F717" s="90">
        <v>15.5</v>
      </c>
    </row>
    <row r="718" spans="1:6" x14ac:dyDescent="0.3">
      <c r="A718" s="1" t="s">
        <v>79</v>
      </c>
      <c r="B718" s="1" t="s">
        <v>5</v>
      </c>
      <c r="C718" s="1">
        <v>15</v>
      </c>
      <c r="D718" s="1">
        <v>87</v>
      </c>
      <c r="E718" s="1">
        <v>493.9</v>
      </c>
      <c r="F718" s="90">
        <v>5.67701149425287</v>
      </c>
    </row>
    <row r="719" spans="1:6" x14ac:dyDescent="0.3">
      <c r="A719" s="1" t="s">
        <v>79</v>
      </c>
      <c r="B719" s="1" t="s">
        <v>5</v>
      </c>
      <c r="C719" s="1">
        <v>16</v>
      </c>
      <c r="D719" s="1">
        <v>131</v>
      </c>
      <c r="E719" s="1">
        <v>2061.6</v>
      </c>
      <c r="F719" s="90">
        <v>15.737404580152701</v>
      </c>
    </row>
    <row r="720" spans="1:6" x14ac:dyDescent="0.3">
      <c r="A720" s="1" t="s">
        <v>80</v>
      </c>
      <c r="B720" s="1" t="s">
        <v>184</v>
      </c>
      <c r="C720" s="1">
        <v>0</v>
      </c>
      <c r="D720" s="1">
        <v>2</v>
      </c>
      <c r="E720" s="1">
        <v>0</v>
      </c>
      <c r="F720" s="90">
        <v>0</v>
      </c>
    </row>
    <row r="721" spans="1:6" x14ac:dyDescent="0.3">
      <c r="A721" s="1" t="s">
        <v>80</v>
      </c>
      <c r="B721" s="1" t="s">
        <v>184</v>
      </c>
      <c r="C721" s="1">
        <v>21</v>
      </c>
      <c r="D721" s="1">
        <v>47</v>
      </c>
      <c r="E721" s="1">
        <v>188</v>
      </c>
      <c r="F721" s="90">
        <v>4</v>
      </c>
    </row>
    <row r="722" spans="1:6" x14ac:dyDescent="0.3">
      <c r="A722" s="1" t="s">
        <v>80</v>
      </c>
      <c r="B722" s="1" t="s">
        <v>184</v>
      </c>
      <c r="C722" s="1">
        <v>22</v>
      </c>
      <c r="D722" s="1">
        <v>70</v>
      </c>
      <c r="E722" s="1">
        <v>280</v>
      </c>
      <c r="F722" s="90">
        <v>4</v>
      </c>
    </row>
    <row r="723" spans="1:6" x14ac:dyDescent="0.3">
      <c r="A723" s="1" t="s">
        <v>80</v>
      </c>
      <c r="B723" s="1" t="s">
        <v>183</v>
      </c>
      <c r="C723" s="1">
        <v>0</v>
      </c>
      <c r="D723" s="1">
        <v>2</v>
      </c>
      <c r="E723" s="1">
        <v>0</v>
      </c>
      <c r="F723" s="90">
        <v>0</v>
      </c>
    </row>
    <row r="724" spans="1:6" x14ac:dyDescent="0.3">
      <c r="A724" s="1" t="s">
        <v>80</v>
      </c>
      <c r="B724" s="1" t="s">
        <v>183</v>
      </c>
      <c r="C724" s="1">
        <v>31</v>
      </c>
      <c r="D724" s="1">
        <v>116</v>
      </c>
      <c r="E724" s="1">
        <v>928</v>
      </c>
      <c r="F724" s="90">
        <v>8</v>
      </c>
    </row>
    <row r="725" spans="1:6" x14ac:dyDescent="0.3">
      <c r="A725" s="1" t="s">
        <v>80</v>
      </c>
      <c r="B725" s="1" t="s">
        <v>183</v>
      </c>
      <c r="C725" s="1">
        <v>32</v>
      </c>
      <c r="D725" s="1">
        <v>173</v>
      </c>
      <c r="E725" s="1">
        <v>1730</v>
      </c>
      <c r="F725" s="90">
        <v>10</v>
      </c>
    </row>
    <row r="726" spans="1:6" x14ac:dyDescent="0.3">
      <c r="A726" s="1" t="s">
        <v>80</v>
      </c>
      <c r="B726" s="1" t="s">
        <v>159</v>
      </c>
      <c r="C726" s="1">
        <v>41</v>
      </c>
      <c r="D726" s="1">
        <v>1</v>
      </c>
      <c r="E726" s="1">
        <v>2</v>
      </c>
      <c r="F726" s="90">
        <v>2</v>
      </c>
    </row>
    <row r="727" spans="1:6" x14ac:dyDescent="0.3">
      <c r="A727" s="1" t="s">
        <v>80</v>
      </c>
      <c r="B727" s="1" t="s">
        <v>159</v>
      </c>
      <c r="C727" s="1">
        <v>42</v>
      </c>
      <c r="D727" s="1">
        <v>19</v>
      </c>
      <c r="E727" s="1">
        <v>38</v>
      </c>
      <c r="F727" s="90">
        <v>2</v>
      </c>
    </row>
    <row r="728" spans="1:6" x14ac:dyDescent="0.3">
      <c r="A728" s="1" t="s">
        <v>80</v>
      </c>
      <c r="B728" s="1" t="s">
        <v>5</v>
      </c>
      <c r="C728" s="1">
        <v>0</v>
      </c>
      <c r="D728" s="1">
        <v>5</v>
      </c>
      <c r="E728" s="1">
        <v>0</v>
      </c>
      <c r="F728" s="90">
        <v>0</v>
      </c>
    </row>
    <row r="729" spans="1:6" x14ac:dyDescent="0.3">
      <c r="A729" s="1" t="s">
        <v>80</v>
      </c>
      <c r="B729" s="1" t="s">
        <v>5</v>
      </c>
      <c r="C729" s="1">
        <v>11</v>
      </c>
      <c r="D729" s="1">
        <v>187</v>
      </c>
      <c r="E729" s="1">
        <v>2244</v>
      </c>
      <c r="F729" s="90">
        <v>12</v>
      </c>
    </row>
    <row r="730" spans="1:6" x14ac:dyDescent="0.3">
      <c r="A730" s="1" t="s">
        <v>80</v>
      </c>
      <c r="B730" s="1" t="s">
        <v>5</v>
      </c>
      <c r="C730" s="1">
        <v>12</v>
      </c>
      <c r="D730" s="1">
        <v>275</v>
      </c>
      <c r="E730" s="1">
        <v>5775</v>
      </c>
      <c r="F730" s="90">
        <v>21</v>
      </c>
    </row>
    <row r="731" spans="1:6" x14ac:dyDescent="0.3">
      <c r="A731" s="1" t="s">
        <v>80</v>
      </c>
      <c r="B731" s="1" t="s">
        <v>5</v>
      </c>
      <c r="C731" s="1">
        <v>14</v>
      </c>
      <c r="D731" s="1">
        <v>3</v>
      </c>
      <c r="E731" s="1">
        <v>54</v>
      </c>
      <c r="F731" s="90">
        <v>18</v>
      </c>
    </row>
    <row r="732" spans="1:6" x14ac:dyDescent="0.3">
      <c r="A732" s="1" t="s">
        <v>80</v>
      </c>
      <c r="B732" s="1" t="s">
        <v>5</v>
      </c>
      <c r="C732" s="1">
        <v>15</v>
      </c>
      <c r="D732" s="1">
        <v>1</v>
      </c>
      <c r="E732" s="1">
        <v>2</v>
      </c>
      <c r="F732" s="90">
        <v>2</v>
      </c>
    </row>
    <row r="733" spans="1:6" x14ac:dyDescent="0.3">
      <c r="A733" s="1" t="s">
        <v>80</v>
      </c>
      <c r="B733" s="1" t="s">
        <v>5</v>
      </c>
      <c r="C733" s="1">
        <v>16</v>
      </c>
      <c r="D733" s="1">
        <v>1</v>
      </c>
      <c r="E733" s="1">
        <v>24</v>
      </c>
      <c r="F733" s="90">
        <v>24</v>
      </c>
    </row>
    <row r="734" spans="1:6" x14ac:dyDescent="0.3">
      <c r="A734" s="1" t="s">
        <v>81</v>
      </c>
      <c r="B734" s="1" t="s">
        <v>184</v>
      </c>
      <c r="C734" s="1">
        <v>0</v>
      </c>
      <c r="D734" s="1">
        <v>1</v>
      </c>
      <c r="E734" s="1">
        <v>0</v>
      </c>
      <c r="F734" s="90">
        <v>0</v>
      </c>
    </row>
    <row r="735" spans="1:6" x14ac:dyDescent="0.3">
      <c r="A735" s="1" t="s">
        <v>81</v>
      </c>
      <c r="B735" s="1" t="s">
        <v>184</v>
      </c>
      <c r="C735" s="1">
        <v>22</v>
      </c>
      <c r="D735" s="1">
        <v>3</v>
      </c>
      <c r="E735" s="1">
        <v>12</v>
      </c>
      <c r="F735" s="90">
        <v>4</v>
      </c>
    </row>
    <row r="736" spans="1:6" x14ac:dyDescent="0.3">
      <c r="A736" s="1" t="s">
        <v>81</v>
      </c>
      <c r="B736" s="1" t="s">
        <v>183</v>
      </c>
      <c r="C736" s="1">
        <v>31</v>
      </c>
      <c r="D736" s="1">
        <v>2</v>
      </c>
      <c r="E736" s="1">
        <v>16</v>
      </c>
      <c r="F736" s="90">
        <v>8</v>
      </c>
    </row>
    <row r="737" spans="1:6" x14ac:dyDescent="0.3">
      <c r="A737" s="1" t="s">
        <v>81</v>
      </c>
      <c r="B737" s="1" t="s">
        <v>183</v>
      </c>
      <c r="C737" s="1">
        <v>32</v>
      </c>
      <c r="D737" s="1">
        <v>8</v>
      </c>
      <c r="E737" s="1">
        <v>80</v>
      </c>
      <c r="F737" s="90">
        <v>10</v>
      </c>
    </row>
    <row r="738" spans="1:6" x14ac:dyDescent="0.3">
      <c r="A738" s="1" t="s">
        <v>81</v>
      </c>
      <c r="B738" s="1" t="s">
        <v>159</v>
      </c>
      <c r="C738" s="1">
        <v>42</v>
      </c>
      <c r="D738" s="1">
        <v>1</v>
      </c>
      <c r="E738" s="1">
        <v>2</v>
      </c>
      <c r="F738" s="90">
        <v>2</v>
      </c>
    </row>
    <row r="739" spans="1:6" x14ac:dyDescent="0.3">
      <c r="A739" s="1" t="s">
        <v>81</v>
      </c>
      <c r="B739" s="1" t="s">
        <v>5</v>
      </c>
      <c r="C739" s="1">
        <v>0</v>
      </c>
      <c r="D739" s="1">
        <v>3</v>
      </c>
      <c r="E739" s="1">
        <v>0</v>
      </c>
      <c r="F739" s="90">
        <v>0</v>
      </c>
    </row>
    <row r="740" spans="1:6" x14ac:dyDescent="0.3">
      <c r="A740" s="1" t="s">
        <v>81</v>
      </c>
      <c r="B740" s="1" t="s">
        <v>5</v>
      </c>
      <c r="C740" s="1">
        <v>11</v>
      </c>
      <c r="D740" s="1">
        <v>13</v>
      </c>
      <c r="E740" s="1">
        <v>91</v>
      </c>
      <c r="F740" s="90">
        <v>7</v>
      </c>
    </row>
    <row r="741" spans="1:6" x14ac:dyDescent="0.3">
      <c r="A741" s="1" t="s">
        <v>81</v>
      </c>
      <c r="B741" s="1" t="s">
        <v>5</v>
      </c>
      <c r="C741" s="1">
        <v>12</v>
      </c>
      <c r="D741" s="1">
        <v>37</v>
      </c>
      <c r="E741" s="1">
        <v>407</v>
      </c>
      <c r="F741" s="90">
        <v>11</v>
      </c>
    </row>
    <row r="742" spans="1:6" x14ac:dyDescent="0.3">
      <c r="A742" s="1" t="s">
        <v>81</v>
      </c>
      <c r="B742" s="1" t="s">
        <v>5</v>
      </c>
      <c r="C742" s="1">
        <v>15</v>
      </c>
      <c r="D742" s="1">
        <v>7</v>
      </c>
      <c r="E742" s="1">
        <v>58.1</v>
      </c>
      <c r="F742" s="90">
        <v>8.3000000000000007</v>
      </c>
    </row>
    <row r="743" spans="1:6" x14ac:dyDescent="0.3">
      <c r="A743" s="1" t="s">
        <v>82</v>
      </c>
      <c r="B743" s="1" t="s">
        <v>184</v>
      </c>
      <c r="C743" s="1">
        <v>0</v>
      </c>
      <c r="D743" s="1">
        <v>4</v>
      </c>
      <c r="E743" s="1">
        <v>0</v>
      </c>
      <c r="F743" s="90">
        <v>0</v>
      </c>
    </row>
    <row r="744" spans="1:6" x14ac:dyDescent="0.3">
      <c r="A744" s="1" t="s">
        <v>82</v>
      </c>
      <c r="B744" s="1" t="s">
        <v>184</v>
      </c>
      <c r="C744" s="1">
        <v>21</v>
      </c>
      <c r="D744" s="1">
        <v>25</v>
      </c>
      <c r="E744" s="1">
        <v>100</v>
      </c>
      <c r="F744" s="90">
        <v>4</v>
      </c>
    </row>
    <row r="745" spans="1:6" x14ac:dyDescent="0.3">
      <c r="A745" s="1" t="s">
        <v>82</v>
      </c>
      <c r="B745" s="1" t="s">
        <v>184</v>
      </c>
      <c r="C745" s="1">
        <v>22</v>
      </c>
      <c r="D745" s="1">
        <v>71</v>
      </c>
      <c r="E745" s="1">
        <v>284</v>
      </c>
      <c r="F745" s="90">
        <v>4</v>
      </c>
    </row>
    <row r="746" spans="1:6" x14ac:dyDescent="0.3">
      <c r="A746" s="1" t="s">
        <v>82</v>
      </c>
      <c r="B746" s="1" t="s">
        <v>184</v>
      </c>
      <c r="C746" s="1">
        <v>25</v>
      </c>
      <c r="D746" s="1">
        <v>2</v>
      </c>
      <c r="E746" s="1">
        <v>6</v>
      </c>
      <c r="F746" s="90">
        <v>3</v>
      </c>
    </row>
    <row r="747" spans="1:6" x14ac:dyDescent="0.3">
      <c r="A747" s="1" t="s">
        <v>82</v>
      </c>
      <c r="B747" s="1" t="s">
        <v>183</v>
      </c>
      <c r="C747" s="1">
        <v>31</v>
      </c>
      <c r="D747" s="1">
        <v>36</v>
      </c>
      <c r="E747" s="1">
        <v>288</v>
      </c>
      <c r="F747" s="90">
        <v>8</v>
      </c>
    </row>
    <row r="748" spans="1:6" x14ac:dyDescent="0.3">
      <c r="A748" s="1" t="s">
        <v>82</v>
      </c>
      <c r="B748" s="1" t="s">
        <v>183</v>
      </c>
      <c r="C748" s="1">
        <v>32</v>
      </c>
      <c r="D748" s="1">
        <v>54</v>
      </c>
      <c r="E748" s="1">
        <v>540</v>
      </c>
      <c r="F748" s="90">
        <v>10</v>
      </c>
    </row>
    <row r="749" spans="1:6" x14ac:dyDescent="0.3">
      <c r="A749" s="1" t="s">
        <v>82</v>
      </c>
      <c r="B749" s="1" t="s">
        <v>159</v>
      </c>
      <c r="C749" s="1">
        <v>41</v>
      </c>
      <c r="D749" s="1">
        <v>1</v>
      </c>
      <c r="E749" s="1">
        <v>2</v>
      </c>
      <c r="F749" s="90">
        <v>2</v>
      </c>
    </row>
    <row r="750" spans="1:6" x14ac:dyDescent="0.3">
      <c r="A750" s="1" t="s">
        <v>82</v>
      </c>
      <c r="B750" s="1" t="s">
        <v>159</v>
      </c>
      <c r="C750" s="1">
        <v>42</v>
      </c>
      <c r="D750" s="1">
        <v>17</v>
      </c>
      <c r="E750" s="1">
        <v>34</v>
      </c>
      <c r="F750" s="90">
        <v>2</v>
      </c>
    </row>
    <row r="751" spans="1:6" x14ac:dyDescent="0.3">
      <c r="A751" s="1" t="s">
        <v>82</v>
      </c>
      <c r="B751" s="1" t="s">
        <v>5</v>
      </c>
      <c r="C751" s="1">
        <v>0</v>
      </c>
      <c r="D751" s="1">
        <v>46</v>
      </c>
      <c r="E751" s="1">
        <v>0</v>
      </c>
      <c r="F751" s="90">
        <v>0</v>
      </c>
    </row>
    <row r="752" spans="1:6" x14ac:dyDescent="0.3">
      <c r="A752" s="1" t="s">
        <v>82</v>
      </c>
      <c r="B752" s="1" t="s">
        <v>5</v>
      </c>
      <c r="C752" s="1">
        <v>11</v>
      </c>
      <c r="D752" s="1">
        <v>355</v>
      </c>
      <c r="E752" s="1">
        <v>2485</v>
      </c>
      <c r="F752" s="90">
        <v>7</v>
      </c>
    </row>
    <row r="753" spans="1:6" x14ac:dyDescent="0.3">
      <c r="A753" s="1" t="s">
        <v>82</v>
      </c>
      <c r="B753" s="1" t="s">
        <v>5</v>
      </c>
      <c r="C753" s="1">
        <v>12</v>
      </c>
      <c r="D753" s="1">
        <v>681</v>
      </c>
      <c r="E753" s="1">
        <v>6810</v>
      </c>
      <c r="F753" s="90">
        <v>10</v>
      </c>
    </row>
    <row r="754" spans="1:6" x14ac:dyDescent="0.3">
      <c r="A754" s="1" t="s">
        <v>82</v>
      </c>
      <c r="B754" s="1" t="s">
        <v>5</v>
      </c>
      <c r="C754" s="1">
        <v>13</v>
      </c>
      <c r="D754" s="1">
        <v>9</v>
      </c>
      <c r="E754" s="1">
        <v>43.3</v>
      </c>
      <c r="F754" s="90">
        <v>4.81111111111111</v>
      </c>
    </row>
    <row r="755" spans="1:6" x14ac:dyDescent="0.3">
      <c r="A755" s="1" t="s">
        <v>82</v>
      </c>
      <c r="B755" s="1" t="s">
        <v>5</v>
      </c>
      <c r="C755" s="1">
        <v>14</v>
      </c>
      <c r="D755" s="1">
        <v>4</v>
      </c>
      <c r="E755" s="1">
        <v>52.9</v>
      </c>
      <c r="F755" s="90">
        <v>13.225</v>
      </c>
    </row>
    <row r="756" spans="1:6" x14ac:dyDescent="0.3">
      <c r="A756" s="1" t="s">
        <v>82</v>
      </c>
      <c r="B756" s="1" t="s">
        <v>5</v>
      </c>
      <c r="C756" s="1">
        <v>15</v>
      </c>
      <c r="D756" s="1">
        <v>20</v>
      </c>
      <c r="E756" s="1">
        <v>142.5</v>
      </c>
      <c r="F756" s="90">
        <v>7.125</v>
      </c>
    </row>
    <row r="757" spans="1:6" x14ac:dyDescent="0.3">
      <c r="A757" s="1" t="s">
        <v>82</v>
      </c>
      <c r="B757" s="1" t="s">
        <v>5</v>
      </c>
      <c r="C757" s="1">
        <v>16</v>
      </c>
      <c r="D757" s="1">
        <v>1</v>
      </c>
      <c r="E757" s="1">
        <v>16.5</v>
      </c>
      <c r="F757" s="90">
        <v>16.5</v>
      </c>
    </row>
    <row r="758" spans="1:6" x14ac:dyDescent="0.3">
      <c r="A758" s="1" t="s">
        <v>83</v>
      </c>
      <c r="B758" s="1" t="s">
        <v>184</v>
      </c>
      <c r="C758" s="1">
        <v>0</v>
      </c>
      <c r="D758" s="1">
        <v>1</v>
      </c>
      <c r="E758" s="1">
        <v>0</v>
      </c>
      <c r="F758" s="90">
        <v>0</v>
      </c>
    </row>
    <row r="759" spans="1:6" x14ac:dyDescent="0.3">
      <c r="A759" s="1" t="s">
        <v>83</v>
      </c>
      <c r="B759" s="1" t="s">
        <v>184</v>
      </c>
      <c r="C759" s="1">
        <v>21</v>
      </c>
      <c r="D759" s="1">
        <v>2</v>
      </c>
      <c r="E759" s="1">
        <v>8</v>
      </c>
      <c r="F759" s="90">
        <v>4</v>
      </c>
    </row>
    <row r="760" spans="1:6" x14ac:dyDescent="0.3">
      <c r="A760" s="1" t="s">
        <v>83</v>
      </c>
      <c r="B760" s="1" t="s">
        <v>184</v>
      </c>
      <c r="C760" s="1">
        <v>22</v>
      </c>
      <c r="D760" s="1">
        <v>4</v>
      </c>
      <c r="E760" s="1">
        <v>16</v>
      </c>
      <c r="F760" s="90">
        <v>4</v>
      </c>
    </row>
    <row r="761" spans="1:6" x14ac:dyDescent="0.3">
      <c r="A761" s="1" t="s">
        <v>83</v>
      </c>
      <c r="B761" s="1" t="s">
        <v>183</v>
      </c>
      <c r="C761" s="1">
        <v>31</v>
      </c>
      <c r="D761" s="1">
        <v>5</v>
      </c>
      <c r="E761" s="1">
        <v>40</v>
      </c>
      <c r="F761" s="90">
        <v>8</v>
      </c>
    </row>
    <row r="762" spans="1:6" x14ac:dyDescent="0.3">
      <c r="A762" s="1" t="s">
        <v>83</v>
      </c>
      <c r="B762" s="1" t="s">
        <v>183</v>
      </c>
      <c r="C762" s="1">
        <v>32</v>
      </c>
      <c r="D762" s="1">
        <v>5</v>
      </c>
      <c r="E762" s="1">
        <v>50</v>
      </c>
      <c r="F762" s="90">
        <v>10</v>
      </c>
    </row>
    <row r="763" spans="1:6" x14ac:dyDescent="0.3">
      <c r="A763" s="1" t="s">
        <v>83</v>
      </c>
      <c r="B763" s="1" t="s">
        <v>183</v>
      </c>
      <c r="C763" s="1">
        <v>35</v>
      </c>
      <c r="D763" s="1">
        <v>4</v>
      </c>
      <c r="E763" s="1">
        <v>32</v>
      </c>
      <c r="F763" s="90">
        <v>8</v>
      </c>
    </row>
    <row r="764" spans="1:6" x14ac:dyDescent="0.3">
      <c r="A764" s="1" t="s">
        <v>83</v>
      </c>
      <c r="B764" s="1" t="s">
        <v>159</v>
      </c>
      <c r="C764" s="1">
        <v>42</v>
      </c>
      <c r="D764" s="1">
        <v>4</v>
      </c>
      <c r="E764" s="1">
        <v>8</v>
      </c>
      <c r="F764" s="90">
        <v>2</v>
      </c>
    </row>
    <row r="765" spans="1:6" x14ac:dyDescent="0.3">
      <c r="A765" s="1" t="s">
        <v>83</v>
      </c>
      <c r="B765" s="1" t="s">
        <v>5</v>
      </c>
      <c r="C765" s="1">
        <v>0</v>
      </c>
      <c r="D765" s="1">
        <v>5</v>
      </c>
      <c r="E765" s="1">
        <v>0</v>
      </c>
      <c r="F765" s="90">
        <v>0</v>
      </c>
    </row>
    <row r="766" spans="1:6" x14ac:dyDescent="0.3">
      <c r="A766" s="1" t="s">
        <v>83</v>
      </c>
      <c r="B766" s="1" t="s">
        <v>5</v>
      </c>
      <c r="C766" s="1">
        <v>11</v>
      </c>
      <c r="D766" s="1">
        <v>32</v>
      </c>
      <c r="E766" s="1">
        <v>224</v>
      </c>
      <c r="F766" s="90">
        <v>7</v>
      </c>
    </row>
    <row r="767" spans="1:6" x14ac:dyDescent="0.3">
      <c r="A767" s="1" t="s">
        <v>83</v>
      </c>
      <c r="B767" s="1" t="s">
        <v>5</v>
      </c>
      <c r="C767" s="1">
        <v>12</v>
      </c>
      <c r="D767" s="1">
        <v>141</v>
      </c>
      <c r="E767" s="1">
        <v>1128</v>
      </c>
      <c r="F767" s="90">
        <v>8</v>
      </c>
    </row>
    <row r="768" spans="1:6" x14ac:dyDescent="0.3">
      <c r="A768" s="1" t="s">
        <v>83</v>
      </c>
      <c r="B768" s="1" t="s">
        <v>5</v>
      </c>
      <c r="C768" s="1">
        <v>15</v>
      </c>
      <c r="D768" s="1">
        <v>3</v>
      </c>
      <c r="E768" s="1">
        <v>14</v>
      </c>
      <c r="F768" s="90">
        <v>4.6666666666666696</v>
      </c>
    </row>
    <row r="769" spans="1:6" x14ac:dyDescent="0.3">
      <c r="A769" s="1" t="s">
        <v>83</v>
      </c>
      <c r="B769" s="1" t="s">
        <v>5</v>
      </c>
      <c r="C769" s="1">
        <v>16</v>
      </c>
      <c r="D769" s="1">
        <v>1</v>
      </c>
      <c r="E769" s="1">
        <v>18</v>
      </c>
      <c r="F769" s="90">
        <v>18</v>
      </c>
    </row>
    <row r="770" spans="1:6" x14ac:dyDescent="0.3">
      <c r="A770" s="1" t="s">
        <v>84</v>
      </c>
      <c r="B770" s="1" t="s">
        <v>184</v>
      </c>
      <c r="C770" s="1">
        <v>0</v>
      </c>
      <c r="D770" s="1">
        <v>8</v>
      </c>
      <c r="E770" s="1">
        <v>0</v>
      </c>
      <c r="F770" s="90">
        <v>0</v>
      </c>
    </row>
    <row r="771" spans="1:6" x14ac:dyDescent="0.3">
      <c r="A771" s="1" t="s">
        <v>84</v>
      </c>
      <c r="B771" s="1" t="s">
        <v>184</v>
      </c>
      <c r="C771" s="1">
        <v>21</v>
      </c>
      <c r="D771" s="1">
        <v>54</v>
      </c>
      <c r="E771" s="1">
        <v>216</v>
      </c>
      <c r="F771" s="90">
        <v>4</v>
      </c>
    </row>
    <row r="772" spans="1:6" x14ac:dyDescent="0.3">
      <c r="A772" s="1" t="s">
        <v>84</v>
      </c>
      <c r="B772" s="1" t="s">
        <v>184</v>
      </c>
      <c r="C772" s="1">
        <v>22</v>
      </c>
      <c r="D772" s="1">
        <v>76</v>
      </c>
      <c r="E772" s="1">
        <v>304</v>
      </c>
      <c r="F772" s="90">
        <v>4</v>
      </c>
    </row>
    <row r="773" spans="1:6" x14ac:dyDescent="0.3">
      <c r="A773" s="1" t="s">
        <v>84</v>
      </c>
      <c r="B773" s="1" t="s">
        <v>183</v>
      </c>
      <c r="C773" s="1">
        <v>0</v>
      </c>
      <c r="D773" s="1">
        <v>2</v>
      </c>
      <c r="E773" s="1">
        <v>0</v>
      </c>
      <c r="F773" s="90">
        <v>0</v>
      </c>
    </row>
    <row r="774" spans="1:6" x14ac:dyDescent="0.3">
      <c r="A774" s="1" t="s">
        <v>84</v>
      </c>
      <c r="B774" s="1" t="s">
        <v>183</v>
      </c>
      <c r="C774" s="1">
        <v>31</v>
      </c>
      <c r="D774" s="1">
        <v>61</v>
      </c>
      <c r="E774" s="1">
        <v>488</v>
      </c>
      <c r="F774" s="90">
        <v>8</v>
      </c>
    </row>
    <row r="775" spans="1:6" x14ac:dyDescent="0.3">
      <c r="A775" s="1" t="s">
        <v>84</v>
      </c>
      <c r="B775" s="1" t="s">
        <v>183</v>
      </c>
      <c r="C775" s="1">
        <v>32</v>
      </c>
      <c r="D775" s="1">
        <v>130</v>
      </c>
      <c r="E775" s="1">
        <v>1300</v>
      </c>
      <c r="F775" s="90">
        <v>10</v>
      </c>
    </row>
    <row r="776" spans="1:6" x14ac:dyDescent="0.3">
      <c r="A776" s="1" t="s">
        <v>84</v>
      </c>
      <c r="B776" s="1" t="s">
        <v>183</v>
      </c>
      <c r="C776" s="1">
        <v>33</v>
      </c>
      <c r="D776" s="1">
        <v>1</v>
      </c>
      <c r="E776" s="1">
        <v>4</v>
      </c>
      <c r="F776" s="90">
        <v>4</v>
      </c>
    </row>
    <row r="777" spans="1:6" x14ac:dyDescent="0.3">
      <c r="A777" s="1" t="s">
        <v>84</v>
      </c>
      <c r="B777" s="1" t="s">
        <v>183</v>
      </c>
      <c r="C777" s="1">
        <v>35</v>
      </c>
      <c r="D777" s="1">
        <v>2</v>
      </c>
      <c r="E777" s="1">
        <v>15</v>
      </c>
      <c r="F777" s="90">
        <v>7.5</v>
      </c>
    </row>
    <row r="778" spans="1:6" x14ac:dyDescent="0.3">
      <c r="A778" s="1" t="s">
        <v>84</v>
      </c>
      <c r="B778" s="1" t="s">
        <v>159</v>
      </c>
      <c r="C778" s="1">
        <v>41</v>
      </c>
      <c r="D778" s="1">
        <v>2</v>
      </c>
      <c r="E778" s="1">
        <v>4</v>
      </c>
      <c r="F778" s="90">
        <v>2</v>
      </c>
    </row>
    <row r="779" spans="1:6" x14ac:dyDescent="0.3">
      <c r="A779" s="1" t="s">
        <v>84</v>
      </c>
      <c r="B779" s="1" t="s">
        <v>159</v>
      </c>
      <c r="C779" s="1">
        <v>42</v>
      </c>
      <c r="D779" s="1">
        <v>222</v>
      </c>
      <c r="E779" s="1">
        <v>444</v>
      </c>
      <c r="F779" s="90">
        <v>2</v>
      </c>
    </row>
    <row r="780" spans="1:6" x14ac:dyDescent="0.3">
      <c r="A780" s="1" t="s">
        <v>84</v>
      </c>
      <c r="B780" s="1" t="s">
        <v>159</v>
      </c>
      <c r="C780" s="1">
        <v>44</v>
      </c>
      <c r="D780" s="1">
        <v>1</v>
      </c>
      <c r="E780" s="1">
        <v>4</v>
      </c>
      <c r="F780" s="90">
        <v>4</v>
      </c>
    </row>
    <row r="781" spans="1:6" x14ac:dyDescent="0.3">
      <c r="A781" s="1" t="s">
        <v>84</v>
      </c>
      <c r="B781" s="1" t="s">
        <v>159</v>
      </c>
      <c r="C781" s="1">
        <v>46</v>
      </c>
      <c r="D781" s="1">
        <v>2</v>
      </c>
      <c r="E781" s="1">
        <v>20</v>
      </c>
      <c r="F781" s="90">
        <v>10</v>
      </c>
    </row>
    <row r="782" spans="1:6" x14ac:dyDescent="0.3">
      <c r="A782" s="1" t="s">
        <v>84</v>
      </c>
      <c r="B782" s="1" t="s">
        <v>5</v>
      </c>
      <c r="C782" s="1">
        <v>0</v>
      </c>
      <c r="D782" s="1">
        <v>36</v>
      </c>
      <c r="E782" s="1">
        <v>0</v>
      </c>
      <c r="F782" s="90">
        <v>0</v>
      </c>
    </row>
    <row r="783" spans="1:6" x14ac:dyDescent="0.3">
      <c r="A783" s="1" t="s">
        <v>84</v>
      </c>
      <c r="B783" s="1" t="s">
        <v>5</v>
      </c>
      <c r="C783" s="1">
        <v>11</v>
      </c>
      <c r="D783" s="1">
        <v>122</v>
      </c>
      <c r="E783" s="1">
        <v>854</v>
      </c>
      <c r="F783" s="90">
        <v>7</v>
      </c>
    </row>
    <row r="784" spans="1:6" x14ac:dyDescent="0.3">
      <c r="A784" s="1" t="s">
        <v>84</v>
      </c>
      <c r="B784" s="1" t="s">
        <v>5</v>
      </c>
      <c r="C784" s="1">
        <v>12</v>
      </c>
      <c r="D784" s="1">
        <v>560</v>
      </c>
      <c r="E784" s="1">
        <v>5600</v>
      </c>
      <c r="F784" s="90">
        <v>10</v>
      </c>
    </row>
    <row r="785" spans="1:6" x14ac:dyDescent="0.3">
      <c r="A785" s="1" t="s">
        <v>84</v>
      </c>
      <c r="B785" s="1" t="s">
        <v>5</v>
      </c>
      <c r="C785" s="1">
        <v>13</v>
      </c>
      <c r="D785" s="1">
        <v>16</v>
      </c>
      <c r="E785" s="1">
        <v>77.8</v>
      </c>
      <c r="F785" s="90">
        <v>4.8624999999999998</v>
      </c>
    </row>
    <row r="786" spans="1:6" x14ac:dyDescent="0.3">
      <c r="A786" s="1" t="s">
        <v>84</v>
      </c>
      <c r="B786" s="1" t="s">
        <v>5</v>
      </c>
      <c r="C786" s="1">
        <v>15</v>
      </c>
      <c r="D786" s="1">
        <v>93</v>
      </c>
      <c r="E786" s="1">
        <v>353.5</v>
      </c>
      <c r="F786" s="90">
        <v>3.8010752688172</v>
      </c>
    </row>
    <row r="787" spans="1:6" x14ac:dyDescent="0.3">
      <c r="A787" s="1" t="s">
        <v>85</v>
      </c>
      <c r="B787" s="1" t="s">
        <v>184</v>
      </c>
      <c r="C787" s="1">
        <v>22</v>
      </c>
      <c r="D787" s="1">
        <v>22</v>
      </c>
      <c r="E787" s="1">
        <v>88</v>
      </c>
      <c r="F787" s="90">
        <v>4</v>
      </c>
    </row>
    <row r="788" spans="1:6" x14ac:dyDescent="0.3">
      <c r="A788" s="1" t="s">
        <v>85</v>
      </c>
      <c r="B788" s="1" t="s">
        <v>183</v>
      </c>
      <c r="C788" s="1">
        <v>0</v>
      </c>
      <c r="D788" s="1">
        <v>1</v>
      </c>
      <c r="E788" s="1">
        <v>0</v>
      </c>
      <c r="F788" s="90">
        <v>0</v>
      </c>
    </row>
    <row r="789" spans="1:6" x14ac:dyDescent="0.3">
      <c r="A789" s="1" t="s">
        <v>85</v>
      </c>
      <c r="B789" s="1" t="s">
        <v>183</v>
      </c>
      <c r="C789" s="1">
        <v>32</v>
      </c>
      <c r="D789" s="1">
        <v>32</v>
      </c>
      <c r="E789" s="1">
        <v>320</v>
      </c>
      <c r="F789" s="90">
        <v>10</v>
      </c>
    </row>
    <row r="790" spans="1:6" x14ac:dyDescent="0.3">
      <c r="A790" s="1" t="s">
        <v>85</v>
      </c>
      <c r="B790" s="1" t="s">
        <v>183</v>
      </c>
      <c r="C790" s="1">
        <v>35</v>
      </c>
      <c r="D790" s="1">
        <v>1</v>
      </c>
      <c r="E790" s="1">
        <v>7.5</v>
      </c>
      <c r="F790" s="90">
        <v>7.5</v>
      </c>
    </row>
    <row r="791" spans="1:6" x14ac:dyDescent="0.3">
      <c r="A791" s="1" t="s">
        <v>85</v>
      </c>
      <c r="B791" s="1" t="s">
        <v>5</v>
      </c>
      <c r="C791" s="1">
        <v>0</v>
      </c>
      <c r="D791" s="1">
        <v>32</v>
      </c>
      <c r="E791" s="1">
        <v>0</v>
      </c>
      <c r="F791" s="90">
        <v>0</v>
      </c>
    </row>
    <row r="792" spans="1:6" x14ac:dyDescent="0.3">
      <c r="A792" s="1" t="s">
        <v>85</v>
      </c>
      <c r="B792" s="1" t="s">
        <v>5</v>
      </c>
      <c r="C792" s="1">
        <v>12</v>
      </c>
      <c r="D792" s="1">
        <v>683</v>
      </c>
      <c r="E792" s="1">
        <v>6830</v>
      </c>
      <c r="F792" s="90">
        <v>10</v>
      </c>
    </row>
    <row r="793" spans="1:6" x14ac:dyDescent="0.3">
      <c r="A793" s="1" t="s">
        <v>85</v>
      </c>
      <c r="B793" s="1" t="s">
        <v>5</v>
      </c>
      <c r="C793" s="1">
        <v>15</v>
      </c>
      <c r="D793" s="1">
        <v>44</v>
      </c>
      <c r="E793" s="1">
        <v>333.2</v>
      </c>
      <c r="F793" s="90">
        <v>7.5727272727272696</v>
      </c>
    </row>
    <row r="794" spans="1:6" x14ac:dyDescent="0.3">
      <c r="A794" s="1" t="s">
        <v>85</v>
      </c>
      <c r="B794" s="1" t="s">
        <v>5</v>
      </c>
      <c r="C794" s="1">
        <v>16</v>
      </c>
      <c r="D794" s="1">
        <v>2</v>
      </c>
      <c r="E794" s="1">
        <v>35</v>
      </c>
      <c r="F794" s="90">
        <v>17.5</v>
      </c>
    </row>
    <row r="795" spans="1:6" x14ac:dyDescent="0.3">
      <c r="A795" s="1" t="s">
        <v>86</v>
      </c>
      <c r="B795" s="1" t="s">
        <v>184</v>
      </c>
      <c r="C795" s="1">
        <v>0</v>
      </c>
      <c r="D795" s="1">
        <v>29</v>
      </c>
      <c r="E795" s="1">
        <v>0</v>
      </c>
      <c r="F795" s="90">
        <v>0</v>
      </c>
    </row>
    <row r="796" spans="1:6" x14ac:dyDescent="0.3">
      <c r="A796" s="1" t="s">
        <v>86</v>
      </c>
      <c r="B796" s="1" t="s">
        <v>184</v>
      </c>
      <c r="C796" s="1">
        <v>21</v>
      </c>
      <c r="D796" s="1">
        <v>125</v>
      </c>
      <c r="E796" s="1">
        <v>500</v>
      </c>
      <c r="F796" s="90">
        <v>4</v>
      </c>
    </row>
    <row r="797" spans="1:6" x14ac:dyDescent="0.3">
      <c r="A797" s="1" t="s">
        <v>86</v>
      </c>
      <c r="B797" s="1" t="s">
        <v>184</v>
      </c>
      <c r="C797" s="1">
        <v>22</v>
      </c>
      <c r="D797" s="1">
        <v>472</v>
      </c>
      <c r="E797" s="1">
        <v>1888</v>
      </c>
      <c r="F797" s="90">
        <v>4</v>
      </c>
    </row>
    <row r="798" spans="1:6" x14ac:dyDescent="0.3">
      <c r="A798" s="1" t="s">
        <v>86</v>
      </c>
      <c r="B798" s="1" t="s">
        <v>184</v>
      </c>
      <c r="C798" s="1">
        <v>23</v>
      </c>
      <c r="D798" s="1">
        <v>3</v>
      </c>
      <c r="E798" s="1">
        <v>6</v>
      </c>
      <c r="F798" s="90">
        <v>2</v>
      </c>
    </row>
    <row r="799" spans="1:6" x14ac:dyDescent="0.3">
      <c r="A799" s="1" t="s">
        <v>86</v>
      </c>
      <c r="B799" s="1" t="s">
        <v>183</v>
      </c>
      <c r="C799" s="1">
        <v>0</v>
      </c>
      <c r="D799" s="1">
        <v>13</v>
      </c>
      <c r="E799" s="1">
        <v>0</v>
      </c>
      <c r="F799" s="90">
        <v>0</v>
      </c>
    </row>
    <row r="800" spans="1:6" x14ac:dyDescent="0.3">
      <c r="A800" s="1" t="s">
        <v>86</v>
      </c>
      <c r="B800" s="1" t="s">
        <v>183</v>
      </c>
      <c r="C800" s="1">
        <v>31</v>
      </c>
      <c r="D800" s="1">
        <v>223</v>
      </c>
      <c r="E800" s="1">
        <v>1784</v>
      </c>
      <c r="F800" s="90">
        <v>8</v>
      </c>
    </row>
    <row r="801" spans="1:6" x14ac:dyDescent="0.3">
      <c r="A801" s="1" t="s">
        <v>86</v>
      </c>
      <c r="B801" s="1" t="s">
        <v>183</v>
      </c>
      <c r="C801" s="1">
        <v>32</v>
      </c>
      <c r="D801" s="1">
        <v>834</v>
      </c>
      <c r="E801" s="1">
        <v>8340</v>
      </c>
      <c r="F801" s="90">
        <v>10</v>
      </c>
    </row>
    <row r="802" spans="1:6" x14ac:dyDescent="0.3">
      <c r="A802" s="1" t="s">
        <v>86</v>
      </c>
      <c r="B802" s="1" t="s">
        <v>183</v>
      </c>
      <c r="C802" s="1">
        <v>34</v>
      </c>
      <c r="D802" s="1">
        <v>1</v>
      </c>
      <c r="E802" s="1">
        <v>10</v>
      </c>
      <c r="F802" s="90">
        <v>10</v>
      </c>
    </row>
    <row r="803" spans="1:6" x14ac:dyDescent="0.3">
      <c r="A803" s="1" t="s">
        <v>86</v>
      </c>
      <c r="B803" s="1" t="s">
        <v>183</v>
      </c>
      <c r="C803" s="1">
        <v>35</v>
      </c>
      <c r="D803" s="1">
        <v>1</v>
      </c>
      <c r="E803" s="1">
        <v>7.5</v>
      </c>
      <c r="F803" s="90">
        <v>7.5</v>
      </c>
    </row>
    <row r="804" spans="1:6" x14ac:dyDescent="0.3">
      <c r="A804" s="1" t="s">
        <v>86</v>
      </c>
      <c r="B804" s="1" t="s">
        <v>159</v>
      </c>
      <c r="C804" s="1">
        <v>41</v>
      </c>
      <c r="D804" s="1">
        <v>5</v>
      </c>
      <c r="E804" s="1">
        <v>10</v>
      </c>
      <c r="F804" s="90">
        <v>2</v>
      </c>
    </row>
    <row r="805" spans="1:6" x14ac:dyDescent="0.3">
      <c r="A805" s="1" t="s">
        <v>86</v>
      </c>
      <c r="B805" s="1" t="s">
        <v>159</v>
      </c>
      <c r="C805" s="1">
        <v>42</v>
      </c>
      <c r="D805" s="1">
        <v>126</v>
      </c>
      <c r="E805" s="1">
        <v>252</v>
      </c>
      <c r="F805" s="90">
        <v>2</v>
      </c>
    </row>
    <row r="806" spans="1:6" x14ac:dyDescent="0.3">
      <c r="A806" s="1" t="s">
        <v>86</v>
      </c>
      <c r="B806" s="1" t="s">
        <v>5</v>
      </c>
      <c r="C806" s="1">
        <v>0</v>
      </c>
      <c r="D806" s="1">
        <v>102</v>
      </c>
      <c r="E806" s="1">
        <v>0</v>
      </c>
      <c r="F806" s="90">
        <v>0</v>
      </c>
    </row>
    <row r="807" spans="1:6" x14ac:dyDescent="0.3">
      <c r="A807" s="1" t="s">
        <v>86</v>
      </c>
      <c r="B807" s="1" t="s">
        <v>5</v>
      </c>
      <c r="C807" s="1">
        <v>11</v>
      </c>
      <c r="D807" s="1">
        <v>409</v>
      </c>
      <c r="E807" s="1">
        <v>2863</v>
      </c>
      <c r="F807" s="90">
        <v>7</v>
      </c>
    </row>
    <row r="808" spans="1:6" x14ac:dyDescent="0.3">
      <c r="A808" s="1" t="s">
        <v>86</v>
      </c>
      <c r="B808" s="1" t="s">
        <v>5</v>
      </c>
      <c r="C808" s="1">
        <v>12</v>
      </c>
      <c r="D808" s="1">
        <v>3172</v>
      </c>
      <c r="E808" s="1">
        <v>38064</v>
      </c>
      <c r="F808" s="90">
        <v>12</v>
      </c>
    </row>
    <row r="809" spans="1:6" x14ac:dyDescent="0.3">
      <c r="A809" s="1" t="s">
        <v>86</v>
      </c>
      <c r="B809" s="1" t="s">
        <v>5</v>
      </c>
      <c r="C809" s="1">
        <v>13</v>
      </c>
      <c r="D809" s="1">
        <v>3</v>
      </c>
      <c r="E809" s="1">
        <v>15.9</v>
      </c>
      <c r="F809" s="90">
        <v>5.3</v>
      </c>
    </row>
    <row r="810" spans="1:6" x14ac:dyDescent="0.3">
      <c r="A810" s="1" t="s">
        <v>86</v>
      </c>
      <c r="B810" s="1" t="s">
        <v>5</v>
      </c>
      <c r="C810" s="1">
        <v>14</v>
      </c>
      <c r="D810" s="1">
        <v>4</v>
      </c>
      <c r="E810" s="1">
        <v>64</v>
      </c>
      <c r="F810" s="90">
        <v>16</v>
      </c>
    </row>
    <row r="811" spans="1:6" x14ac:dyDescent="0.3">
      <c r="A811" s="1" t="s">
        <v>86</v>
      </c>
      <c r="B811" s="1" t="s">
        <v>5</v>
      </c>
      <c r="C811" s="1">
        <v>15</v>
      </c>
      <c r="D811" s="1">
        <v>18</v>
      </c>
      <c r="E811" s="1">
        <v>86.8</v>
      </c>
      <c r="F811" s="90">
        <v>4.8222222222222202</v>
      </c>
    </row>
    <row r="812" spans="1:6" x14ac:dyDescent="0.3">
      <c r="A812" s="1" t="s">
        <v>86</v>
      </c>
      <c r="B812" s="1" t="s">
        <v>5</v>
      </c>
      <c r="C812" s="1">
        <v>16</v>
      </c>
      <c r="D812" s="1">
        <v>18</v>
      </c>
      <c r="E812" s="1">
        <v>377</v>
      </c>
      <c r="F812" s="90">
        <v>20.9444444444444</v>
      </c>
    </row>
    <row r="813" spans="1:6" x14ac:dyDescent="0.3">
      <c r="A813" s="1" t="s">
        <v>87</v>
      </c>
      <c r="B813" s="1" t="s">
        <v>184</v>
      </c>
      <c r="C813" s="1">
        <v>0</v>
      </c>
      <c r="D813" s="1">
        <v>6</v>
      </c>
      <c r="E813" s="1">
        <v>0</v>
      </c>
      <c r="F813" s="90">
        <v>0</v>
      </c>
    </row>
    <row r="814" spans="1:6" x14ac:dyDescent="0.3">
      <c r="A814" s="1" t="s">
        <v>87</v>
      </c>
      <c r="B814" s="1" t="s">
        <v>184</v>
      </c>
      <c r="C814" s="1">
        <v>21</v>
      </c>
      <c r="D814" s="1">
        <v>56</v>
      </c>
      <c r="E814" s="1">
        <v>224</v>
      </c>
      <c r="F814" s="90">
        <v>4</v>
      </c>
    </row>
    <row r="815" spans="1:6" x14ac:dyDescent="0.3">
      <c r="A815" s="1" t="s">
        <v>87</v>
      </c>
      <c r="B815" s="1" t="s">
        <v>184</v>
      </c>
      <c r="C815" s="1">
        <v>22</v>
      </c>
      <c r="D815" s="1">
        <v>87</v>
      </c>
      <c r="E815" s="1">
        <v>348</v>
      </c>
      <c r="F815" s="90">
        <v>4</v>
      </c>
    </row>
    <row r="816" spans="1:6" x14ac:dyDescent="0.3">
      <c r="A816" s="1" t="s">
        <v>87</v>
      </c>
      <c r="B816" s="1" t="s">
        <v>183</v>
      </c>
      <c r="C816" s="1">
        <v>0</v>
      </c>
      <c r="D816" s="1">
        <v>8</v>
      </c>
      <c r="E816" s="1">
        <v>0</v>
      </c>
      <c r="F816" s="90">
        <v>0</v>
      </c>
    </row>
    <row r="817" spans="1:6" x14ac:dyDescent="0.3">
      <c r="A817" s="1" t="s">
        <v>87</v>
      </c>
      <c r="B817" s="1" t="s">
        <v>183</v>
      </c>
      <c r="C817" s="1">
        <v>31</v>
      </c>
      <c r="D817" s="1">
        <v>110</v>
      </c>
      <c r="E817" s="1">
        <v>880</v>
      </c>
      <c r="F817" s="90">
        <v>8</v>
      </c>
    </row>
    <row r="818" spans="1:6" x14ac:dyDescent="0.3">
      <c r="A818" s="1" t="s">
        <v>87</v>
      </c>
      <c r="B818" s="1" t="s">
        <v>183</v>
      </c>
      <c r="C818" s="1">
        <v>32</v>
      </c>
      <c r="D818" s="1">
        <v>336</v>
      </c>
      <c r="E818" s="1">
        <v>3360</v>
      </c>
      <c r="F818" s="90">
        <v>10</v>
      </c>
    </row>
    <row r="819" spans="1:6" x14ac:dyDescent="0.3">
      <c r="A819" s="1" t="s">
        <v>87</v>
      </c>
      <c r="B819" s="1" t="s">
        <v>183</v>
      </c>
      <c r="C819" s="1">
        <v>36</v>
      </c>
      <c r="D819" s="1">
        <v>1</v>
      </c>
      <c r="E819" s="1">
        <v>15</v>
      </c>
      <c r="F819" s="90">
        <v>15</v>
      </c>
    </row>
    <row r="820" spans="1:6" x14ac:dyDescent="0.3">
      <c r="A820" s="1" t="s">
        <v>87</v>
      </c>
      <c r="B820" s="1" t="s">
        <v>159</v>
      </c>
      <c r="C820" s="1">
        <v>41</v>
      </c>
      <c r="D820" s="1">
        <v>1</v>
      </c>
      <c r="E820" s="1">
        <v>2</v>
      </c>
      <c r="F820" s="90">
        <v>2</v>
      </c>
    </row>
    <row r="821" spans="1:6" x14ac:dyDescent="0.3">
      <c r="A821" s="1" t="s">
        <v>87</v>
      </c>
      <c r="B821" s="1" t="s">
        <v>159</v>
      </c>
      <c r="C821" s="1">
        <v>42</v>
      </c>
      <c r="D821" s="1">
        <v>55</v>
      </c>
      <c r="E821" s="1">
        <v>110</v>
      </c>
      <c r="F821" s="90">
        <v>2</v>
      </c>
    </row>
    <row r="822" spans="1:6" x14ac:dyDescent="0.3">
      <c r="A822" s="1" t="s">
        <v>87</v>
      </c>
      <c r="B822" s="1" t="s">
        <v>5</v>
      </c>
      <c r="C822" s="1">
        <v>0</v>
      </c>
      <c r="D822" s="1">
        <v>13</v>
      </c>
      <c r="E822" s="1">
        <v>0</v>
      </c>
      <c r="F822" s="90">
        <v>0</v>
      </c>
    </row>
    <row r="823" spans="1:6" x14ac:dyDescent="0.3">
      <c r="A823" s="1" t="s">
        <v>87</v>
      </c>
      <c r="B823" s="1" t="s">
        <v>5</v>
      </c>
      <c r="C823" s="1">
        <v>10</v>
      </c>
      <c r="D823" s="1">
        <v>9</v>
      </c>
      <c r="E823" s="1">
        <v>0</v>
      </c>
      <c r="F823" s="90">
        <v>0</v>
      </c>
    </row>
    <row r="824" spans="1:6" x14ac:dyDescent="0.3">
      <c r="A824" s="1" t="s">
        <v>87</v>
      </c>
      <c r="B824" s="1" t="s">
        <v>5</v>
      </c>
      <c r="C824" s="1">
        <v>11</v>
      </c>
      <c r="D824" s="1">
        <v>63</v>
      </c>
      <c r="E824" s="1">
        <v>567</v>
      </c>
      <c r="F824" s="90">
        <v>9</v>
      </c>
    </row>
    <row r="825" spans="1:6" x14ac:dyDescent="0.3">
      <c r="A825" s="1" t="s">
        <v>87</v>
      </c>
      <c r="B825" s="1" t="s">
        <v>5</v>
      </c>
      <c r="C825" s="1">
        <v>12</v>
      </c>
      <c r="D825" s="1">
        <v>208</v>
      </c>
      <c r="E825" s="1">
        <v>3120</v>
      </c>
      <c r="F825" s="90">
        <v>15</v>
      </c>
    </row>
    <row r="826" spans="1:6" x14ac:dyDescent="0.3">
      <c r="A826" s="1" t="s">
        <v>87</v>
      </c>
      <c r="B826" s="1" t="s">
        <v>5</v>
      </c>
      <c r="C826" s="1">
        <v>15</v>
      </c>
      <c r="D826" s="1">
        <v>41</v>
      </c>
      <c r="E826" s="1">
        <v>231.5</v>
      </c>
      <c r="F826" s="90">
        <v>5.6463414634146298</v>
      </c>
    </row>
    <row r="827" spans="1:6" x14ac:dyDescent="0.3">
      <c r="A827" s="1" t="s">
        <v>87</v>
      </c>
      <c r="B827" s="1" t="s">
        <v>5</v>
      </c>
      <c r="C827" s="1">
        <v>16</v>
      </c>
      <c r="D827" s="1">
        <v>3</v>
      </c>
      <c r="E827" s="1">
        <v>71.5</v>
      </c>
      <c r="F827" s="90">
        <v>23.8333333333333</v>
      </c>
    </row>
    <row r="828" spans="1:6" x14ac:dyDescent="0.3">
      <c r="A828" s="1" t="s">
        <v>88</v>
      </c>
      <c r="B828" s="1" t="s">
        <v>159</v>
      </c>
      <c r="C828" s="1">
        <v>42</v>
      </c>
      <c r="D828" s="1">
        <v>215</v>
      </c>
      <c r="E828" s="1">
        <v>430</v>
      </c>
      <c r="F828" s="90">
        <v>2</v>
      </c>
    </row>
    <row r="829" spans="1:6" x14ac:dyDescent="0.3">
      <c r="A829" s="1" t="s">
        <v>88</v>
      </c>
      <c r="B829" s="1" t="s">
        <v>5</v>
      </c>
      <c r="C829" s="1">
        <v>0</v>
      </c>
      <c r="D829" s="1">
        <v>717</v>
      </c>
      <c r="E829" s="1">
        <v>6</v>
      </c>
      <c r="F829" s="90">
        <v>8.3682008368200795E-3</v>
      </c>
    </row>
    <row r="830" spans="1:6" x14ac:dyDescent="0.3">
      <c r="A830" s="1" t="s">
        <v>88</v>
      </c>
      <c r="B830" s="1" t="s">
        <v>5</v>
      </c>
      <c r="C830" s="1">
        <v>11</v>
      </c>
      <c r="D830" s="1">
        <v>269</v>
      </c>
      <c r="E830" s="1">
        <v>1345</v>
      </c>
      <c r="F830" s="90">
        <v>5</v>
      </c>
    </row>
    <row r="831" spans="1:6" x14ac:dyDescent="0.3">
      <c r="A831" s="1" t="s">
        <v>88</v>
      </c>
      <c r="B831" s="1" t="s">
        <v>5</v>
      </c>
      <c r="C831" s="1">
        <v>12</v>
      </c>
      <c r="D831" s="1">
        <v>2291</v>
      </c>
      <c r="E831" s="1">
        <v>13746</v>
      </c>
      <c r="F831" s="90">
        <v>6</v>
      </c>
    </row>
    <row r="832" spans="1:6" x14ac:dyDescent="0.3">
      <c r="A832" s="1" t="s">
        <v>88</v>
      </c>
      <c r="B832" s="1" t="s">
        <v>5</v>
      </c>
      <c r="C832" s="1">
        <v>13</v>
      </c>
      <c r="D832" s="1">
        <v>8</v>
      </c>
      <c r="E832" s="1">
        <v>19</v>
      </c>
      <c r="F832" s="90">
        <v>2.375</v>
      </c>
    </row>
    <row r="833" spans="1:6" x14ac:dyDescent="0.3">
      <c r="A833" s="1" t="s">
        <v>88</v>
      </c>
      <c r="B833" s="1" t="s">
        <v>5</v>
      </c>
      <c r="C833" s="1">
        <v>14</v>
      </c>
      <c r="D833" s="1">
        <v>8</v>
      </c>
      <c r="E833" s="1">
        <v>69.5</v>
      </c>
      <c r="F833" s="90">
        <v>8.6875</v>
      </c>
    </row>
    <row r="834" spans="1:6" x14ac:dyDescent="0.3">
      <c r="A834" s="1" t="s">
        <v>88</v>
      </c>
      <c r="B834" s="1" t="s">
        <v>5</v>
      </c>
      <c r="C834" s="1">
        <v>15</v>
      </c>
      <c r="D834" s="1">
        <v>173</v>
      </c>
      <c r="E834" s="1">
        <v>695</v>
      </c>
      <c r="F834" s="90">
        <v>4.0173410404624299</v>
      </c>
    </row>
    <row r="835" spans="1:6" x14ac:dyDescent="0.3">
      <c r="A835" s="1" t="s">
        <v>88</v>
      </c>
      <c r="B835" s="1" t="s">
        <v>5</v>
      </c>
      <c r="C835" s="1">
        <v>16</v>
      </c>
      <c r="D835" s="1">
        <v>56</v>
      </c>
      <c r="E835" s="1">
        <v>700</v>
      </c>
      <c r="F835" s="90">
        <v>12.5</v>
      </c>
    </row>
    <row r="836" spans="1:6" x14ac:dyDescent="0.3">
      <c r="A836" s="1" t="s">
        <v>89</v>
      </c>
      <c r="B836" s="1" t="s">
        <v>159</v>
      </c>
      <c r="C836" s="1">
        <v>42</v>
      </c>
      <c r="D836" s="1">
        <v>10</v>
      </c>
      <c r="E836" s="1">
        <v>20</v>
      </c>
      <c r="F836" s="90">
        <v>2</v>
      </c>
    </row>
    <row r="837" spans="1:6" x14ac:dyDescent="0.3">
      <c r="A837" s="1" t="s">
        <v>89</v>
      </c>
      <c r="B837" s="1" t="s">
        <v>5</v>
      </c>
      <c r="C837" s="1">
        <v>0</v>
      </c>
      <c r="D837" s="1">
        <v>471</v>
      </c>
      <c r="E837" s="1">
        <v>0</v>
      </c>
      <c r="F837" s="90">
        <v>0</v>
      </c>
    </row>
    <row r="838" spans="1:6" x14ac:dyDescent="0.3">
      <c r="A838" s="1" t="s">
        <v>89</v>
      </c>
      <c r="B838" s="1" t="s">
        <v>5</v>
      </c>
      <c r="C838" s="1">
        <v>10</v>
      </c>
      <c r="D838" s="1">
        <v>1</v>
      </c>
      <c r="E838" s="1">
        <v>0</v>
      </c>
      <c r="F838" s="90">
        <v>0</v>
      </c>
    </row>
    <row r="839" spans="1:6" x14ac:dyDescent="0.3">
      <c r="A839" s="1" t="s">
        <v>89</v>
      </c>
      <c r="B839" s="1" t="s">
        <v>5</v>
      </c>
      <c r="C839" s="1">
        <v>11</v>
      </c>
      <c r="D839" s="1">
        <v>278</v>
      </c>
      <c r="E839" s="1">
        <v>1668</v>
      </c>
      <c r="F839" s="90">
        <v>6</v>
      </c>
    </row>
    <row r="840" spans="1:6" x14ac:dyDescent="0.3">
      <c r="A840" s="1" t="s">
        <v>89</v>
      </c>
      <c r="B840" s="1" t="s">
        <v>5</v>
      </c>
      <c r="C840" s="1">
        <v>12</v>
      </c>
      <c r="D840" s="1">
        <v>3178</v>
      </c>
      <c r="E840" s="1">
        <v>22246</v>
      </c>
      <c r="F840" s="90">
        <v>7</v>
      </c>
    </row>
    <row r="841" spans="1:6" x14ac:dyDescent="0.3">
      <c r="A841" s="1" t="s">
        <v>89</v>
      </c>
      <c r="B841" s="1" t="s">
        <v>5</v>
      </c>
      <c r="C841" s="1">
        <v>13</v>
      </c>
      <c r="D841" s="1">
        <v>53</v>
      </c>
      <c r="E841" s="1">
        <v>253</v>
      </c>
      <c r="F841" s="90">
        <v>4.7735849056603801</v>
      </c>
    </row>
    <row r="842" spans="1:6" x14ac:dyDescent="0.3">
      <c r="A842" s="1" t="s">
        <v>89</v>
      </c>
      <c r="B842" s="1" t="s">
        <v>5</v>
      </c>
      <c r="C842" s="1">
        <v>14</v>
      </c>
      <c r="D842" s="1">
        <v>6</v>
      </c>
      <c r="E842" s="1">
        <v>66.3</v>
      </c>
      <c r="F842" s="90">
        <v>11.05</v>
      </c>
    </row>
    <row r="843" spans="1:6" x14ac:dyDescent="0.3">
      <c r="A843" s="1" t="s">
        <v>89</v>
      </c>
      <c r="B843" s="1" t="s">
        <v>5</v>
      </c>
      <c r="C843" s="1">
        <v>15</v>
      </c>
      <c r="D843" s="1">
        <v>337</v>
      </c>
      <c r="E843" s="1">
        <v>1656.5</v>
      </c>
      <c r="F843" s="90">
        <v>4.9154302670623098</v>
      </c>
    </row>
    <row r="844" spans="1:6" x14ac:dyDescent="0.3">
      <c r="A844" s="1" t="s">
        <v>89</v>
      </c>
      <c r="B844" s="1" t="s">
        <v>5</v>
      </c>
      <c r="C844" s="1">
        <v>16</v>
      </c>
      <c r="D844" s="1">
        <v>21</v>
      </c>
      <c r="E844" s="1">
        <v>308.8</v>
      </c>
      <c r="F844" s="90">
        <v>14.7047619047619</v>
      </c>
    </row>
    <row r="845" spans="1:6" x14ac:dyDescent="0.3">
      <c r="A845" s="1" t="s">
        <v>90</v>
      </c>
      <c r="B845" s="1" t="s">
        <v>159</v>
      </c>
      <c r="C845" s="1">
        <v>42</v>
      </c>
      <c r="D845" s="1">
        <v>11</v>
      </c>
      <c r="E845" s="1">
        <v>22</v>
      </c>
      <c r="F845" s="90">
        <v>2</v>
      </c>
    </row>
    <row r="846" spans="1:6" x14ac:dyDescent="0.3">
      <c r="A846" s="1" t="s">
        <v>90</v>
      </c>
      <c r="B846" s="1" t="s">
        <v>5</v>
      </c>
      <c r="C846" s="1">
        <v>0</v>
      </c>
      <c r="D846" s="1">
        <v>111</v>
      </c>
      <c r="E846" s="1">
        <v>0</v>
      </c>
      <c r="F846" s="90">
        <v>0</v>
      </c>
    </row>
    <row r="847" spans="1:6" x14ac:dyDescent="0.3">
      <c r="A847" s="1" t="s">
        <v>90</v>
      </c>
      <c r="B847" s="1" t="s">
        <v>5</v>
      </c>
      <c r="C847" s="1">
        <v>11</v>
      </c>
      <c r="D847" s="1">
        <v>224</v>
      </c>
      <c r="E847" s="1">
        <v>1120</v>
      </c>
      <c r="F847" s="90">
        <v>5</v>
      </c>
    </row>
    <row r="848" spans="1:6" x14ac:dyDescent="0.3">
      <c r="A848" s="1" t="s">
        <v>90</v>
      </c>
      <c r="B848" s="1" t="s">
        <v>5</v>
      </c>
      <c r="C848" s="1">
        <v>12</v>
      </c>
      <c r="D848" s="1">
        <v>1645</v>
      </c>
      <c r="E848" s="1">
        <v>9870</v>
      </c>
      <c r="F848" s="90">
        <v>6</v>
      </c>
    </row>
    <row r="849" spans="1:6" x14ac:dyDescent="0.3">
      <c r="A849" s="1" t="s">
        <v>90</v>
      </c>
      <c r="B849" s="1" t="s">
        <v>5</v>
      </c>
      <c r="C849" s="1">
        <v>13</v>
      </c>
      <c r="D849" s="1">
        <v>2</v>
      </c>
      <c r="E849" s="1">
        <v>4</v>
      </c>
      <c r="F849" s="90">
        <v>2</v>
      </c>
    </row>
    <row r="850" spans="1:6" x14ac:dyDescent="0.3">
      <c r="A850" s="1" t="s">
        <v>90</v>
      </c>
      <c r="B850" s="1" t="s">
        <v>5</v>
      </c>
      <c r="C850" s="1">
        <v>14</v>
      </c>
      <c r="D850" s="1">
        <v>6</v>
      </c>
      <c r="E850" s="1">
        <v>36</v>
      </c>
      <c r="F850" s="90">
        <v>6</v>
      </c>
    </row>
    <row r="851" spans="1:6" x14ac:dyDescent="0.3">
      <c r="A851" s="1" t="s">
        <v>90</v>
      </c>
      <c r="B851" s="1" t="s">
        <v>5</v>
      </c>
      <c r="C851" s="1">
        <v>15</v>
      </c>
      <c r="D851" s="1">
        <v>66</v>
      </c>
      <c r="E851" s="1">
        <v>291</v>
      </c>
      <c r="F851" s="90">
        <v>4.4090909090909101</v>
      </c>
    </row>
    <row r="852" spans="1:6" x14ac:dyDescent="0.3">
      <c r="A852" s="1" t="s">
        <v>90</v>
      </c>
      <c r="B852" s="1" t="s">
        <v>5</v>
      </c>
      <c r="C852" s="1">
        <v>16</v>
      </c>
      <c r="D852" s="1">
        <v>6</v>
      </c>
      <c r="E852" s="1">
        <v>67</v>
      </c>
      <c r="F852" s="90">
        <v>11.1666666666667</v>
      </c>
    </row>
    <row r="853" spans="1:6" x14ac:dyDescent="0.3">
      <c r="A853" s="1" t="s">
        <v>91</v>
      </c>
      <c r="B853" s="1" t="s">
        <v>184</v>
      </c>
      <c r="C853" s="1">
        <v>21</v>
      </c>
      <c r="D853" s="1">
        <v>1</v>
      </c>
      <c r="E853" s="1">
        <v>4</v>
      </c>
      <c r="F853" s="90">
        <v>4</v>
      </c>
    </row>
    <row r="854" spans="1:6" x14ac:dyDescent="0.3">
      <c r="A854" s="1" t="s">
        <v>91</v>
      </c>
      <c r="B854" s="1" t="s">
        <v>159</v>
      </c>
      <c r="C854" s="1">
        <v>42</v>
      </c>
      <c r="D854" s="1">
        <v>1422</v>
      </c>
      <c r="E854" s="1">
        <v>2844</v>
      </c>
      <c r="F854" s="90">
        <v>2</v>
      </c>
    </row>
    <row r="855" spans="1:6" x14ac:dyDescent="0.3">
      <c r="A855" s="1" t="s">
        <v>91</v>
      </c>
      <c r="B855" s="1" t="s">
        <v>159</v>
      </c>
      <c r="C855" s="1">
        <v>46</v>
      </c>
      <c r="D855" s="1">
        <v>1</v>
      </c>
      <c r="E855" s="1">
        <v>5</v>
      </c>
      <c r="F855" s="90">
        <v>5</v>
      </c>
    </row>
    <row r="856" spans="1:6" x14ac:dyDescent="0.3">
      <c r="A856" s="1" t="s">
        <v>91</v>
      </c>
      <c r="B856" s="1" t="s">
        <v>5</v>
      </c>
      <c r="C856" s="1">
        <v>0</v>
      </c>
      <c r="D856" s="1">
        <v>4125</v>
      </c>
      <c r="E856" s="1">
        <v>0</v>
      </c>
      <c r="F856" s="90">
        <v>0</v>
      </c>
    </row>
    <row r="857" spans="1:6" x14ac:dyDescent="0.3">
      <c r="A857" s="1" t="s">
        <v>91</v>
      </c>
      <c r="B857" s="1" t="s">
        <v>5</v>
      </c>
      <c r="C857" s="1">
        <v>10</v>
      </c>
      <c r="D857" s="1">
        <v>5</v>
      </c>
      <c r="E857" s="1">
        <v>0</v>
      </c>
      <c r="F857" s="90">
        <v>0</v>
      </c>
    </row>
    <row r="858" spans="1:6" x14ac:dyDescent="0.3">
      <c r="A858" s="1" t="s">
        <v>91</v>
      </c>
      <c r="B858" s="1" t="s">
        <v>5</v>
      </c>
      <c r="C858" s="1">
        <v>11</v>
      </c>
      <c r="D858" s="1">
        <v>4284</v>
      </c>
      <c r="E858" s="1">
        <v>25704</v>
      </c>
      <c r="F858" s="90">
        <v>6</v>
      </c>
    </row>
    <row r="859" spans="1:6" x14ac:dyDescent="0.3">
      <c r="A859" s="1" t="s">
        <v>91</v>
      </c>
      <c r="B859" s="1" t="s">
        <v>5</v>
      </c>
      <c r="C859" s="1">
        <v>12</v>
      </c>
      <c r="D859" s="1">
        <v>30784</v>
      </c>
      <c r="E859" s="1">
        <v>215488</v>
      </c>
      <c r="F859" s="90">
        <v>7</v>
      </c>
    </row>
    <row r="860" spans="1:6" x14ac:dyDescent="0.3">
      <c r="A860" s="1" t="s">
        <v>91</v>
      </c>
      <c r="B860" s="1" t="s">
        <v>5</v>
      </c>
      <c r="C860" s="1">
        <v>13</v>
      </c>
      <c r="D860" s="1">
        <v>805</v>
      </c>
      <c r="E860" s="1">
        <v>3272.1</v>
      </c>
      <c r="F860" s="90">
        <v>4.0647204968944104</v>
      </c>
    </row>
    <row r="861" spans="1:6" x14ac:dyDescent="0.3">
      <c r="A861" s="1" t="s">
        <v>91</v>
      </c>
      <c r="B861" s="1" t="s">
        <v>5</v>
      </c>
      <c r="C861" s="1">
        <v>14</v>
      </c>
      <c r="D861" s="1">
        <v>119</v>
      </c>
      <c r="E861" s="1">
        <v>1427.5</v>
      </c>
      <c r="F861" s="90">
        <v>11.995798319327699</v>
      </c>
    </row>
    <row r="862" spans="1:6" x14ac:dyDescent="0.3">
      <c r="A862" s="1" t="s">
        <v>91</v>
      </c>
      <c r="B862" s="1" t="s">
        <v>5</v>
      </c>
      <c r="C862" s="1">
        <v>15</v>
      </c>
      <c r="D862" s="1">
        <v>2849</v>
      </c>
      <c r="E862" s="1">
        <v>11408.7</v>
      </c>
      <c r="F862" s="90">
        <v>4.0044577044576899</v>
      </c>
    </row>
    <row r="863" spans="1:6" x14ac:dyDescent="0.3">
      <c r="A863" s="1" t="s">
        <v>91</v>
      </c>
      <c r="B863" s="1" t="s">
        <v>5</v>
      </c>
      <c r="C863" s="1">
        <v>16</v>
      </c>
      <c r="D863" s="1">
        <v>1151</v>
      </c>
      <c r="E863" s="1">
        <v>13748.2</v>
      </c>
      <c r="F863" s="90">
        <v>11.9445699391833</v>
      </c>
    </row>
    <row r="864" spans="1:6" x14ac:dyDescent="0.3">
      <c r="A864" s="1" t="s">
        <v>92</v>
      </c>
      <c r="B864" s="1" t="s">
        <v>159</v>
      </c>
      <c r="C864" s="1">
        <v>41</v>
      </c>
      <c r="D864" s="1">
        <v>1</v>
      </c>
      <c r="E864" s="1">
        <v>2</v>
      </c>
      <c r="F864" s="90">
        <v>2</v>
      </c>
    </row>
    <row r="865" spans="1:6" x14ac:dyDescent="0.3">
      <c r="A865" s="1" t="s">
        <v>92</v>
      </c>
      <c r="B865" s="1" t="s">
        <v>159</v>
      </c>
      <c r="C865" s="1">
        <v>42</v>
      </c>
      <c r="D865" s="1">
        <v>73</v>
      </c>
      <c r="E865" s="1">
        <v>146</v>
      </c>
      <c r="F865" s="90">
        <v>2</v>
      </c>
    </row>
    <row r="866" spans="1:6" x14ac:dyDescent="0.3">
      <c r="A866" s="1" t="s">
        <v>92</v>
      </c>
      <c r="B866" s="1" t="s">
        <v>5</v>
      </c>
      <c r="C866" s="1">
        <v>0</v>
      </c>
      <c r="D866" s="1">
        <v>211</v>
      </c>
      <c r="E866" s="1">
        <v>0</v>
      </c>
      <c r="F866" s="90">
        <v>0</v>
      </c>
    </row>
    <row r="867" spans="1:6" x14ac:dyDescent="0.3">
      <c r="A867" s="1" t="s">
        <v>92</v>
      </c>
      <c r="B867" s="1" t="s">
        <v>5</v>
      </c>
      <c r="C867" s="1">
        <v>11</v>
      </c>
      <c r="D867" s="1">
        <v>417</v>
      </c>
      <c r="E867" s="1">
        <v>2502</v>
      </c>
      <c r="F867" s="90">
        <v>6</v>
      </c>
    </row>
    <row r="868" spans="1:6" x14ac:dyDescent="0.3">
      <c r="A868" s="1" t="s">
        <v>92</v>
      </c>
      <c r="B868" s="1" t="s">
        <v>5</v>
      </c>
      <c r="C868" s="1">
        <v>12</v>
      </c>
      <c r="D868" s="1">
        <v>5273</v>
      </c>
      <c r="E868" s="1">
        <v>31638</v>
      </c>
      <c r="F868" s="90">
        <v>6</v>
      </c>
    </row>
    <row r="869" spans="1:6" x14ac:dyDescent="0.3">
      <c r="A869" s="1" t="s">
        <v>92</v>
      </c>
      <c r="B869" s="1" t="s">
        <v>5</v>
      </c>
      <c r="C869" s="1">
        <v>13</v>
      </c>
      <c r="D869" s="1">
        <v>243</v>
      </c>
      <c r="E869" s="1">
        <v>1203</v>
      </c>
      <c r="F869" s="90">
        <v>4.9506172839506197</v>
      </c>
    </row>
    <row r="870" spans="1:6" x14ac:dyDescent="0.3">
      <c r="A870" s="1" t="s">
        <v>92</v>
      </c>
      <c r="B870" s="1" t="s">
        <v>5</v>
      </c>
      <c r="C870" s="1">
        <v>14</v>
      </c>
      <c r="D870" s="1">
        <v>4</v>
      </c>
      <c r="E870" s="1">
        <v>33.299999999999997</v>
      </c>
      <c r="F870" s="90">
        <v>8.3249999999999993</v>
      </c>
    </row>
    <row r="871" spans="1:6" x14ac:dyDescent="0.3">
      <c r="A871" s="1" t="s">
        <v>92</v>
      </c>
      <c r="B871" s="1" t="s">
        <v>5</v>
      </c>
      <c r="C871" s="1">
        <v>15</v>
      </c>
      <c r="D871" s="1">
        <v>1196</v>
      </c>
      <c r="E871" s="1">
        <v>5870.3</v>
      </c>
      <c r="F871" s="90">
        <v>4.9082775919732402</v>
      </c>
    </row>
    <row r="872" spans="1:6" x14ac:dyDescent="0.3">
      <c r="A872" s="1" t="s">
        <v>92</v>
      </c>
      <c r="B872" s="1" t="s">
        <v>5</v>
      </c>
      <c r="C872" s="1">
        <v>16</v>
      </c>
      <c r="D872" s="1">
        <v>22</v>
      </c>
      <c r="E872" s="1">
        <v>208</v>
      </c>
      <c r="F872" s="90">
        <v>9.4545454545454604</v>
      </c>
    </row>
    <row r="873" spans="1:6" x14ac:dyDescent="0.3">
      <c r="A873" s="1" t="s">
        <v>93</v>
      </c>
      <c r="B873" s="1" t="s">
        <v>5</v>
      </c>
      <c r="C873" s="1">
        <v>0</v>
      </c>
      <c r="D873" s="1">
        <v>95</v>
      </c>
      <c r="E873" s="1">
        <v>0</v>
      </c>
      <c r="F873" s="90">
        <v>0</v>
      </c>
    </row>
    <row r="874" spans="1:6" x14ac:dyDescent="0.3">
      <c r="A874" s="1" t="s">
        <v>93</v>
      </c>
      <c r="B874" s="1" t="s">
        <v>5</v>
      </c>
      <c r="C874" s="1">
        <v>11</v>
      </c>
      <c r="D874" s="1">
        <v>143</v>
      </c>
      <c r="E874" s="1">
        <v>572</v>
      </c>
      <c r="F874" s="90">
        <v>4</v>
      </c>
    </row>
    <row r="875" spans="1:6" x14ac:dyDescent="0.3">
      <c r="A875" s="1" t="s">
        <v>93</v>
      </c>
      <c r="B875" s="1" t="s">
        <v>5</v>
      </c>
      <c r="C875" s="1">
        <v>12</v>
      </c>
      <c r="D875" s="1">
        <v>3127</v>
      </c>
      <c r="E875" s="1">
        <v>15635</v>
      </c>
      <c r="F875" s="90">
        <v>5</v>
      </c>
    </row>
    <row r="876" spans="1:6" x14ac:dyDescent="0.3">
      <c r="A876" s="1" t="s">
        <v>93</v>
      </c>
      <c r="B876" s="1" t="s">
        <v>5</v>
      </c>
      <c r="C876" s="1">
        <v>14</v>
      </c>
      <c r="D876" s="1">
        <v>1</v>
      </c>
      <c r="E876" s="1">
        <v>10</v>
      </c>
      <c r="F876" s="90">
        <v>10</v>
      </c>
    </row>
    <row r="877" spans="1:6" x14ac:dyDescent="0.3">
      <c r="A877" s="1" t="s">
        <v>93</v>
      </c>
      <c r="B877" s="1" t="s">
        <v>5</v>
      </c>
      <c r="C877" s="1">
        <v>15</v>
      </c>
      <c r="D877" s="1">
        <v>13</v>
      </c>
      <c r="E877" s="1">
        <v>47.6</v>
      </c>
      <c r="F877" s="90">
        <v>3.6615384615384601</v>
      </c>
    </row>
    <row r="878" spans="1:6" x14ac:dyDescent="0.3">
      <c r="A878" s="1" t="s">
        <v>93</v>
      </c>
      <c r="B878" s="1" t="s">
        <v>5</v>
      </c>
      <c r="C878" s="1">
        <v>16</v>
      </c>
      <c r="D878" s="1">
        <v>28</v>
      </c>
      <c r="E878" s="1">
        <v>224.4</v>
      </c>
      <c r="F878" s="90">
        <v>8.0142857142857196</v>
      </c>
    </row>
    <row r="879" spans="1:6" x14ac:dyDescent="0.3">
      <c r="A879" s="1" t="s">
        <v>94</v>
      </c>
      <c r="B879" s="1" t="s">
        <v>184</v>
      </c>
      <c r="C879" s="1">
        <v>26</v>
      </c>
      <c r="D879" s="1">
        <v>1</v>
      </c>
      <c r="E879" s="1">
        <v>5</v>
      </c>
      <c r="F879" s="90">
        <v>5</v>
      </c>
    </row>
    <row r="880" spans="1:6" x14ac:dyDescent="0.3">
      <c r="A880" s="1" t="s">
        <v>94</v>
      </c>
      <c r="B880" s="1" t="s">
        <v>5</v>
      </c>
      <c r="C880" s="1">
        <v>0</v>
      </c>
      <c r="D880" s="1">
        <v>1562</v>
      </c>
      <c r="E880" s="1">
        <v>0</v>
      </c>
      <c r="F880" s="90">
        <v>0</v>
      </c>
    </row>
    <row r="881" spans="1:6" x14ac:dyDescent="0.3">
      <c r="A881" s="1" t="s">
        <v>94</v>
      </c>
      <c r="B881" s="1" t="s">
        <v>5</v>
      </c>
      <c r="C881" s="1">
        <v>10</v>
      </c>
      <c r="D881" s="1">
        <v>3</v>
      </c>
      <c r="E881" s="1">
        <v>0</v>
      </c>
      <c r="F881" s="90">
        <v>0</v>
      </c>
    </row>
    <row r="882" spans="1:6" x14ac:dyDescent="0.3">
      <c r="A882" s="1" t="s">
        <v>94</v>
      </c>
      <c r="B882" s="1" t="s">
        <v>5</v>
      </c>
      <c r="C882" s="1">
        <v>11</v>
      </c>
      <c r="D882" s="1">
        <v>2396</v>
      </c>
      <c r="E882" s="1">
        <v>19168</v>
      </c>
      <c r="F882" s="90">
        <v>8</v>
      </c>
    </row>
    <row r="883" spans="1:6" x14ac:dyDescent="0.3">
      <c r="A883" s="1" t="s">
        <v>94</v>
      </c>
      <c r="B883" s="1" t="s">
        <v>5</v>
      </c>
      <c r="C883" s="1">
        <v>12</v>
      </c>
      <c r="D883" s="1">
        <v>9164</v>
      </c>
      <c r="E883" s="1">
        <v>128296</v>
      </c>
      <c r="F883" s="90">
        <v>14</v>
      </c>
    </row>
    <row r="884" spans="1:6" x14ac:dyDescent="0.3">
      <c r="A884" s="1" t="s">
        <v>94</v>
      </c>
      <c r="B884" s="1" t="s">
        <v>5</v>
      </c>
      <c r="C884" s="1">
        <v>13</v>
      </c>
      <c r="D884" s="1">
        <v>244</v>
      </c>
      <c r="E884" s="1">
        <v>1067.3</v>
      </c>
      <c r="F884" s="90">
        <v>4.3741803278688502</v>
      </c>
    </row>
    <row r="885" spans="1:6" x14ac:dyDescent="0.3">
      <c r="A885" s="1" t="s">
        <v>94</v>
      </c>
      <c r="B885" s="1" t="s">
        <v>5</v>
      </c>
      <c r="C885" s="1">
        <v>14</v>
      </c>
      <c r="D885" s="1">
        <v>257</v>
      </c>
      <c r="E885" s="1">
        <v>4444</v>
      </c>
      <c r="F885" s="90">
        <v>17.2918287937743</v>
      </c>
    </row>
    <row r="886" spans="1:6" x14ac:dyDescent="0.3">
      <c r="A886" s="1" t="s">
        <v>94</v>
      </c>
      <c r="B886" s="1" t="s">
        <v>5</v>
      </c>
      <c r="C886" s="1">
        <v>15</v>
      </c>
      <c r="D886" s="1">
        <v>1250</v>
      </c>
      <c r="E886" s="1">
        <v>9409.9</v>
      </c>
      <c r="F886" s="90">
        <v>7.5279199999999999</v>
      </c>
    </row>
    <row r="887" spans="1:6" x14ac:dyDescent="0.3">
      <c r="A887" s="1" t="s">
        <v>94</v>
      </c>
      <c r="B887" s="1" t="s">
        <v>5</v>
      </c>
      <c r="C887" s="1">
        <v>16</v>
      </c>
      <c r="D887" s="1">
        <v>471</v>
      </c>
      <c r="E887" s="1">
        <v>13738.8</v>
      </c>
      <c r="F887" s="90">
        <v>29.1694267515924</v>
      </c>
    </row>
    <row r="888" spans="1:6" x14ac:dyDescent="0.3">
      <c r="A888" s="1" t="s">
        <v>95</v>
      </c>
      <c r="B888" s="1" t="s">
        <v>184</v>
      </c>
      <c r="C888" s="1">
        <v>0</v>
      </c>
      <c r="D888" s="1">
        <v>54</v>
      </c>
      <c r="E888" s="1">
        <v>0</v>
      </c>
      <c r="F888" s="90">
        <v>0</v>
      </c>
    </row>
    <row r="889" spans="1:6" x14ac:dyDescent="0.3">
      <c r="A889" s="1" t="s">
        <v>95</v>
      </c>
      <c r="B889" s="1" t="s">
        <v>184</v>
      </c>
      <c r="C889" s="1">
        <v>21</v>
      </c>
      <c r="D889" s="1">
        <v>173</v>
      </c>
      <c r="E889" s="1">
        <v>692</v>
      </c>
      <c r="F889" s="90">
        <v>4</v>
      </c>
    </row>
    <row r="890" spans="1:6" x14ac:dyDescent="0.3">
      <c r="A890" s="1" t="s">
        <v>95</v>
      </c>
      <c r="B890" s="1" t="s">
        <v>184</v>
      </c>
      <c r="C890" s="1">
        <v>22</v>
      </c>
      <c r="D890" s="1">
        <v>372</v>
      </c>
      <c r="E890" s="1">
        <v>1488</v>
      </c>
      <c r="F890" s="90">
        <v>4</v>
      </c>
    </row>
    <row r="891" spans="1:6" x14ac:dyDescent="0.3">
      <c r="A891" s="1" t="s">
        <v>95</v>
      </c>
      <c r="B891" s="1" t="s">
        <v>184</v>
      </c>
      <c r="C891" s="1">
        <v>26</v>
      </c>
      <c r="D891" s="1">
        <v>1</v>
      </c>
      <c r="E891" s="1">
        <v>6</v>
      </c>
      <c r="F891" s="90">
        <v>6</v>
      </c>
    </row>
    <row r="892" spans="1:6" x14ac:dyDescent="0.3">
      <c r="A892" s="1" t="s">
        <v>95</v>
      </c>
      <c r="B892" s="1" t="s">
        <v>183</v>
      </c>
      <c r="C892" s="1">
        <v>0</v>
      </c>
      <c r="D892" s="1">
        <v>34</v>
      </c>
      <c r="E892" s="1">
        <v>0</v>
      </c>
      <c r="F892" s="90">
        <v>0</v>
      </c>
    </row>
    <row r="893" spans="1:6" x14ac:dyDescent="0.3">
      <c r="A893" s="1" t="s">
        <v>95</v>
      </c>
      <c r="B893" s="1" t="s">
        <v>183</v>
      </c>
      <c r="C893" s="1">
        <v>31</v>
      </c>
      <c r="D893" s="1">
        <v>172</v>
      </c>
      <c r="E893" s="1">
        <v>1376</v>
      </c>
      <c r="F893" s="90">
        <v>8</v>
      </c>
    </row>
    <row r="894" spans="1:6" x14ac:dyDescent="0.3">
      <c r="A894" s="1" t="s">
        <v>95</v>
      </c>
      <c r="B894" s="1" t="s">
        <v>183</v>
      </c>
      <c r="C894" s="1">
        <v>32</v>
      </c>
      <c r="D894" s="1">
        <v>144</v>
      </c>
      <c r="E894" s="1">
        <v>1440</v>
      </c>
      <c r="F894" s="90">
        <v>10</v>
      </c>
    </row>
    <row r="895" spans="1:6" x14ac:dyDescent="0.3">
      <c r="A895" s="1" t="s">
        <v>95</v>
      </c>
      <c r="B895" s="1" t="s">
        <v>183</v>
      </c>
      <c r="C895" s="1">
        <v>34</v>
      </c>
      <c r="D895" s="1">
        <v>1</v>
      </c>
      <c r="E895" s="1">
        <v>12</v>
      </c>
      <c r="F895" s="90">
        <v>12</v>
      </c>
    </row>
    <row r="896" spans="1:6" x14ac:dyDescent="0.3">
      <c r="A896" s="1" t="s">
        <v>95</v>
      </c>
      <c r="B896" s="1" t="s">
        <v>183</v>
      </c>
      <c r="C896" s="1">
        <v>35</v>
      </c>
      <c r="D896" s="1">
        <v>277</v>
      </c>
      <c r="E896" s="1">
        <v>2206</v>
      </c>
      <c r="F896" s="90">
        <v>7.9638989169675103</v>
      </c>
    </row>
    <row r="897" spans="1:6" x14ac:dyDescent="0.3">
      <c r="A897" s="1" t="s">
        <v>95</v>
      </c>
      <c r="B897" s="1" t="s">
        <v>183</v>
      </c>
      <c r="C897" s="1">
        <v>36</v>
      </c>
      <c r="D897" s="1">
        <v>1</v>
      </c>
      <c r="E897" s="1">
        <v>12</v>
      </c>
      <c r="F897" s="90">
        <v>12</v>
      </c>
    </row>
    <row r="898" spans="1:6" x14ac:dyDescent="0.3">
      <c r="A898" s="1" t="s">
        <v>95</v>
      </c>
      <c r="B898" s="1" t="s">
        <v>159</v>
      </c>
      <c r="C898" s="1">
        <v>41</v>
      </c>
      <c r="D898" s="1">
        <v>2</v>
      </c>
      <c r="E898" s="1">
        <v>4</v>
      </c>
      <c r="F898" s="90">
        <v>2</v>
      </c>
    </row>
    <row r="899" spans="1:6" x14ac:dyDescent="0.3">
      <c r="A899" s="1" t="s">
        <v>95</v>
      </c>
      <c r="B899" s="1" t="s">
        <v>159</v>
      </c>
      <c r="C899" s="1">
        <v>42</v>
      </c>
      <c r="D899" s="1">
        <v>840</v>
      </c>
      <c r="E899" s="1">
        <v>1680</v>
      </c>
      <c r="F899" s="90">
        <v>2</v>
      </c>
    </row>
    <row r="900" spans="1:6" x14ac:dyDescent="0.3">
      <c r="A900" s="1" t="s">
        <v>95</v>
      </c>
      <c r="B900" s="1" t="s">
        <v>5</v>
      </c>
      <c r="C900" s="1">
        <v>0</v>
      </c>
      <c r="D900" s="1">
        <v>775</v>
      </c>
      <c r="E900" s="1">
        <v>0</v>
      </c>
      <c r="F900" s="90">
        <v>0</v>
      </c>
    </row>
    <row r="901" spans="1:6" x14ac:dyDescent="0.3">
      <c r="A901" s="1" t="s">
        <v>95</v>
      </c>
      <c r="B901" s="1" t="s">
        <v>5</v>
      </c>
      <c r="C901" s="1">
        <v>11</v>
      </c>
      <c r="D901" s="1">
        <v>1561</v>
      </c>
      <c r="E901" s="1">
        <v>12488</v>
      </c>
      <c r="F901" s="90">
        <v>8</v>
      </c>
    </row>
    <row r="902" spans="1:6" x14ac:dyDescent="0.3">
      <c r="A902" s="1" t="s">
        <v>95</v>
      </c>
      <c r="B902" s="1" t="s">
        <v>5</v>
      </c>
      <c r="C902" s="1">
        <v>12</v>
      </c>
      <c r="D902" s="1">
        <v>4461</v>
      </c>
      <c r="E902" s="1">
        <v>35688</v>
      </c>
      <c r="F902" s="90">
        <v>8</v>
      </c>
    </row>
    <row r="903" spans="1:6" x14ac:dyDescent="0.3">
      <c r="A903" s="1" t="s">
        <v>95</v>
      </c>
      <c r="B903" s="1" t="s">
        <v>5</v>
      </c>
      <c r="C903" s="1">
        <v>13</v>
      </c>
      <c r="D903" s="1">
        <v>11</v>
      </c>
      <c r="E903" s="1">
        <v>49</v>
      </c>
      <c r="F903" s="90">
        <v>4.4545454545454497</v>
      </c>
    </row>
    <row r="904" spans="1:6" x14ac:dyDescent="0.3">
      <c r="A904" s="1" t="s">
        <v>95</v>
      </c>
      <c r="B904" s="1" t="s">
        <v>5</v>
      </c>
      <c r="C904" s="1">
        <v>14</v>
      </c>
      <c r="D904" s="1">
        <v>8</v>
      </c>
      <c r="E904" s="1">
        <v>96</v>
      </c>
      <c r="F904" s="90">
        <v>12</v>
      </c>
    </row>
    <row r="905" spans="1:6" x14ac:dyDescent="0.3">
      <c r="A905" s="1" t="s">
        <v>95</v>
      </c>
      <c r="B905" s="1" t="s">
        <v>5</v>
      </c>
      <c r="C905" s="1">
        <v>15</v>
      </c>
      <c r="D905" s="1">
        <v>191</v>
      </c>
      <c r="E905" s="1">
        <v>495</v>
      </c>
      <c r="F905" s="90">
        <v>2.5916230366492101</v>
      </c>
    </row>
    <row r="906" spans="1:6" x14ac:dyDescent="0.3">
      <c r="A906" s="1" t="s">
        <v>95</v>
      </c>
      <c r="B906" s="1" t="s">
        <v>5</v>
      </c>
      <c r="C906" s="1">
        <v>16</v>
      </c>
      <c r="D906" s="1">
        <v>17</v>
      </c>
      <c r="E906" s="1">
        <v>208</v>
      </c>
      <c r="F906" s="90">
        <v>12.235294117647101</v>
      </c>
    </row>
    <row r="907" spans="1:6" x14ac:dyDescent="0.3">
      <c r="A907" s="1" t="s">
        <v>96</v>
      </c>
      <c r="B907" s="1" t="s">
        <v>184</v>
      </c>
      <c r="C907" s="1">
        <v>0</v>
      </c>
      <c r="D907" s="1">
        <v>10</v>
      </c>
      <c r="E907" s="1">
        <v>0</v>
      </c>
      <c r="F907" s="90">
        <v>0</v>
      </c>
    </row>
    <row r="908" spans="1:6" x14ac:dyDescent="0.3">
      <c r="A908" s="1" t="s">
        <v>96</v>
      </c>
      <c r="B908" s="1" t="s">
        <v>184</v>
      </c>
      <c r="C908" s="1">
        <v>21</v>
      </c>
      <c r="D908" s="1">
        <v>39</v>
      </c>
      <c r="E908" s="1">
        <v>156</v>
      </c>
      <c r="F908" s="90">
        <v>4</v>
      </c>
    </row>
    <row r="909" spans="1:6" x14ac:dyDescent="0.3">
      <c r="A909" s="1" t="s">
        <v>96</v>
      </c>
      <c r="B909" s="1" t="s">
        <v>184</v>
      </c>
      <c r="C909" s="1">
        <v>22</v>
      </c>
      <c r="D909" s="1">
        <v>87</v>
      </c>
      <c r="E909" s="1">
        <v>348</v>
      </c>
      <c r="F909" s="90">
        <v>4</v>
      </c>
    </row>
    <row r="910" spans="1:6" x14ac:dyDescent="0.3">
      <c r="A910" s="1" t="s">
        <v>96</v>
      </c>
      <c r="B910" s="1" t="s">
        <v>184</v>
      </c>
      <c r="C910" s="1">
        <v>24</v>
      </c>
      <c r="D910" s="1">
        <v>1</v>
      </c>
      <c r="E910" s="1">
        <v>12</v>
      </c>
      <c r="F910" s="90">
        <v>12</v>
      </c>
    </row>
    <row r="911" spans="1:6" x14ac:dyDescent="0.3">
      <c r="A911" s="1" t="s">
        <v>96</v>
      </c>
      <c r="B911" s="1" t="s">
        <v>183</v>
      </c>
      <c r="C911" s="1">
        <v>0</v>
      </c>
      <c r="D911" s="1">
        <v>6</v>
      </c>
      <c r="E911" s="1">
        <v>0</v>
      </c>
      <c r="F911" s="90">
        <v>0</v>
      </c>
    </row>
    <row r="912" spans="1:6" x14ac:dyDescent="0.3">
      <c r="A912" s="1" t="s">
        <v>96</v>
      </c>
      <c r="B912" s="1" t="s">
        <v>183</v>
      </c>
      <c r="C912" s="1">
        <v>31</v>
      </c>
      <c r="D912" s="1">
        <v>53</v>
      </c>
      <c r="E912" s="1">
        <v>424</v>
      </c>
      <c r="F912" s="90">
        <v>8</v>
      </c>
    </row>
    <row r="913" spans="1:6" x14ac:dyDescent="0.3">
      <c r="A913" s="1" t="s">
        <v>96</v>
      </c>
      <c r="B913" s="1" t="s">
        <v>183</v>
      </c>
      <c r="C913" s="1">
        <v>32</v>
      </c>
      <c r="D913" s="1">
        <v>90</v>
      </c>
      <c r="E913" s="1">
        <v>900</v>
      </c>
      <c r="F913" s="90">
        <v>10</v>
      </c>
    </row>
    <row r="914" spans="1:6" x14ac:dyDescent="0.3">
      <c r="A914" s="1" t="s">
        <v>96</v>
      </c>
      <c r="B914" s="1" t="s">
        <v>183</v>
      </c>
      <c r="C914" s="1">
        <v>35</v>
      </c>
      <c r="D914" s="1">
        <v>62</v>
      </c>
      <c r="E914" s="1">
        <v>496</v>
      </c>
      <c r="F914" s="90">
        <v>8</v>
      </c>
    </row>
    <row r="915" spans="1:6" x14ac:dyDescent="0.3">
      <c r="A915" s="1" t="s">
        <v>96</v>
      </c>
      <c r="B915" s="1" t="s">
        <v>159</v>
      </c>
      <c r="C915" s="1">
        <v>42</v>
      </c>
      <c r="D915" s="1">
        <v>379</v>
      </c>
      <c r="E915" s="1">
        <v>758</v>
      </c>
      <c r="F915" s="90">
        <v>2</v>
      </c>
    </row>
    <row r="916" spans="1:6" x14ac:dyDescent="0.3">
      <c r="A916" s="1" t="s">
        <v>96</v>
      </c>
      <c r="B916" s="1" t="s">
        <v>5</v>
      </c>
      <c r="C916" s="1">
        <v>0</v>
      </c>
      <c r="D916" s="1">
        <v>101</v>
      </c>
      <c r="E916" s="1">
        <v>0</v>
      </c>
      <c r="F916" s="90">
        <v>0</v>
      </c>
    </row>
    <row r="917" spans="1:6" x14ac:dyDescent="0.3">
      <c r="A917" s="1" t="s">
        <v>96</v>
      </c>
      <c r="B917" s="1" t="s">
        <v>5</v>
      </c>
      <c r="C917" s="1">
        <v>11</v>
      </c>
      <c r="D917" s="1">
        <v>599</v>
      </c>
      <c r="E917" s="1">
        <v>4792</v>
      </c>
      <c r="F917" s="90">
        <v>8</v>
      </c>
    </row>
    <row r="918" spans="1:6" x14ac:dyDescent="0.3">
      <c r="A918" s="1" t="s">
        <v>96</v>
      </c>
      <c r="B918" s="1" t="s">
        <v>5</v>
      </c>
      <c r="C918" s="1">
        <v>12</v>
      </c>
      <c r="D918" s="1">
        <v>1389</v>
      </c>
      <c r="E918" s="1">
        <v>11112</v>
      </c>
      <c r="F918" s="90">
        <v>8</v>
      </c>
    </row>
    <row r="919" spans="1:6" x14ac:dyDescent="0.3">
      <c r="A919" s="1" t="s">
        <v>96</v>
      </c>
      <c r="B919" s="1" t="s">
        <v>5</v>
      </c>
      <c r="C919" s="1">
        <v>13</v>
      </c>
      <c r="D919" s="1">
        <v>4</v>
      </c>
      <c r="E919" s="1">
        <v>24</v>
      </c>
      <c r="F919" s="90">
        <v>6</v>
      </c>
    </row>
    <row r="920" spans="1:6" x14ac:dyDescent="0.3">
      <c r="A920" s="1" t="s">
        <v>96</v>
      </c>
      <c r="B920" s="1" t="s">
        <v>5</v>
      </c>
      <c r="C920" s="1">
        <v>15</v>
      </c>
      <c r="D920" s="1">
        <v>52</v>
      </c>
      <c r="E920" s="1">
        <v>112</v>
      </c>
      <c r="F920" s="90">
        <v>2.1538461538461502</v>
      </c>
    </row>
    <row r="921" spans="1:6" x14ac:dyDescent="0.3">
      <c r="A921" s="1" t="s">
        <v>96</v>
      </c>
      <c r="B921" s="1" t="s">
        <v>5</v>
      </c>
      <c r="C921" s="1">
        <v>16</v>
      </c>
      <c r="D921" s="1">
        <v>2</v>
      </c>
      <c r="E921" s="1">
        <v>24</v>
      </c>
      <c r="F921" s="90">
        <v>12</v>
      </c>
    </row>
    <row r="922" spans="1:6" x14ac:dyDescent="0.3">
      <c r="A922" s="1" t="s">
        <v>97</v>
      </c>
      <c r="B922" s="1" t="s">
        <v>184</v>
      </c>
      <c r="C922" s="1">
        <v>21</v>
      </c>
      <c r="D922" s="1">
        <v>5</v>
      </c>
      <c r="E922" s="1">
        <v>20</v>
      </c>
      <c r="F922" s="90">
        <v>4</v>
      </c>
    </row>
    <row r="923" spans="1:6" x14ac:dyDescent="0.3">
      <c r="A923" s="1" t="s">
        <v>97</v>
      </c>
      <c r="B923" s="1" t="s">
        <v>184</v>
      </c>
      <c r="C923" s="1">
        <v>22</v>
      </c>
      <c r="D923" s="1">
        <v>16</v>
      </c>
      <c r="E923" s="1">
        <v>64</v>
      </c>
      <c r="F923" s="90">
        <v>4</v>
      </c>
    </row>
    <row r="924" spans="1:6" x14ac:dyDescent="0.3">
      <c r="A924" s="1" t="s">
        <v>97</v>
      </c>
      <c r="B924" s="1" t="s">
        <v>183</v>
      </c>
      <c r="C924" s="1">
        <v>0</v>
      </c>
      <c r="D924" s="1">
        <v>3</v>
      </c>
      <c r="E924" s="1">
        <v>0</v>
      </c>
      <c r="F924" s="90">
        <v>0</v>
      </c>
    </row>
    <row r="925" spans="1:6" x14ac:dyDescent="0.3">
      <c r="A925" s="1" t="s">
        <v>97</v>
      </c>
      <c r="B925" s="1" t="s">
        <v>183</v>
      </c>
      <c r="C925" s="1">
        <v>31</v>
      </c>
      <c r="D925" s="1">
        <v>6</v>
      </c>
      <c r="E925" s="1">
        <v>48</v>
      </c>
      <c r="F925" s="90">
        <v>8</v>
      </c>
    </row>
    <row r="926" spans="1:6" x14ac:dyDescent="0.3">
      <c r="A926" s="1" t="s">
        <v>97</v>
      </c>
      <c r="B926" s="1" t="s">
        <v>183</v>
      </c>
      <c r="C926" s="1">
        <v>32</v>
      </c>
      <c r="D926" s="1">
        <v>10</v>
      </c>
      <c r="E926" s="1">
        <v>100</v>
      </c>
      <c r="F926" s="90">
        <v>10</v>
      </c>
    </row>
    <row r="927" spans="1:6" x14ac:dyDescent="0.3">
      <c r="A927" s="1" t="s">
        <v>97</v>
      </c>
      <c r="B927" s="1" t="s">
        <v>183</v>
      </c>
      <c r="C927" s="1">
        <v>35</v>
      </c>
      <c r="D927" s="1">
        <v>4</v>
      </c>
      <c r="E927" s="1">
        <v>36</v>
      </c>
      <c r="F927" s="90">
        <v>9</v>
      </c>
    </row>
    <row r="928" spans="1:6" x14ac:dyDescent="0.3">
      <c r="A928" s="1" t="s">
        <v>97</v>
      </c>
      <c r="B928" s="1" t="s">
        <v>159</v>
      </c>
      <c r="C928" s="1">
        <v>42</v>
      </c>
      <c r="D928" s="1">
        <v>42</v>
      </c>
      <c r="E928" s="1">
        <v>84</v>
      </c>
      <c r="F928" s="90">
        <v>2</v>
      </c>
    </row>
    <row r="929" spans="1:6" x14ac:dyDescent="0.3">
      <c r="A929" s="1" t="s">
        <v>97</v>
      </c>
      <c r="B929" s="1" t="s">
        <v>5</v>
      </c>
      <c r="C929" s="1">
        <v>0</v>
      </c>
      <c r="D929" s="1">
        <v>7</v>
      </c>
      <c r="E929" s="1">
        <v>0</v>
      </c>
      <c r="F929" s="90">
        <v>0</v>
      </c>
    </row>
    <row r="930" spans="1:6" x14ac:dyDescent="0.3">
      <c r="A930" s="1" t="s">
        <v>97</v>
      </c>
      <c r="B930" s="1" t="s">
        <v>5</v>
      </c>
      <c r="C930" s="1">
        <v>11</v>
      </c>
      <c r="D930" s="1">
        <v>61</v>
      </c>
      <c r="E930" s="1">
        <v>488</v>
      </c>
      <c r="F930" s="90">
        <v>8</v>
      </c>
    </row>
    <row r="931" spans="1:6" x14ac:dyDescent="0.3">
      <c r="A931" s="1" t="s">
        <v>97</v>
      </c>
      <c r="B931" s="1" t="s">
        <v>5</v>
      </c>
      <c r="C931" s="1">
        <v>12</v>
      </c>
      <c r="D931" s="1">
        <v>279</v>
      </c>
      <c r="E931" s="1">
        <v>2511</v>
      </c>
      <c r="F931" s="90">
        <v>9</v>
      </c>
    </row>
    <row r="932" spans="1:6" x14ac:dyDescent="0.3">
      <c r="A932" s="1" t="s">
        <v>97</v>
      </c>
      <c r="B932" s="1" t="s">
        <v>5</v>
      </c>
      <c r="C932" s="1">
        <v>15</v>
      </c>
      <c r="D932" s="1">
        <v>11</v>
      </c>
      <c r="E932" s="1">
        <v>31.6</v>
      </c>
      <c r="F932" s="90">
        <v>2.8727272727272699</v>
      </c>
    </row>
    <row r="933" spans="1:6" x14ac:dyDescent="0.3">
      <c r="A933" s="1" t="s">
        <v>97</v>
      </c>
      <c r="B933" s="1" t="s">
        <v>5</v>
      </c>
      <c r="C933" s="1">
        <v>16</v>
      </c>
      <c r="D933" s="1">
        <v>2</v>
      </c>
      <c r="E933" s="1">
        <v>41</v>
      </c>
      <c r="F933" s="90">
        <v>20.5</v>
      </c>
    </row>
    <row r="934" spans="1:6" x14ac:dyDescent="0.3">
      <c r="A934" s="1" t="s">
        <v>98</v>
      </c>
      <c r="B934" s="1" t="s">
        <v>184</v>
      </c>
      <c r="C934" s="1">
        <v>22</v>
      </c>
      <c r="D934" s="1">
        <v>6</v>
      </c>
      <c r="E934" s="1">
        <v>24</v>
      </c>
      <c r="F934" s="90">
        <v>4</v>
      </c>
    </row>
    <row r="935" spans="1:6" x14ac:dyDescent="0.3">
      <c r="A935" s="1" t="s">
        <v>98</v>
      </c>
      <c r="B935" s="1" t="s">
        <v>183</v>
      </c>
      <c r="C935" s="1">
        <v>35</v>
      </c>
      <c r="D935" s="1">
        <v>3</v>
      </c>
      <c r="E935" s="1">
        <v>24</v>
      </c>
      <c r="F935" s="90">
        <v>8</v>
      </c>
    </row>
    <row r="936" spans="1:6" x14ac:dyDescent="0.3">
      <c r="A936" s="1" t="s">
        <v>98</v>
      </c>
      <c r="B936" s="1" t="s">
        <v>159</v>
      </c>
      <c r="C936" s="1">
        <v>42</v>
      </c>
      <c r="D936" s="1">
        <v>3</v>
      </c>
      <c r="E936" s="1">
        <v>6</v>
      </c>
      <c r="F936" s="90">
        <v>2</v>
      </c>
    </row>
    <row r="937" spans="1:6" x14ac:dyDescent="0.3">
      <c r="A937" s="1" t="s">
        <v>98</v>
      </c>
      <c r="B937" s="1" t="s">
        <v>5</v>
      </c>
      <c r="C937" s="1">
        <v>0</v>
      </c>
      <c r="D937" s="1">
        <v>1</v>
      </c>
      <c r="E937" s="1">
        <v>0</v>
      </c>
      <c r="F937" s="90">
        <v>0</v>
      </c>
    </row>
    <row r="938" spans="1:6" x14ac:dyDescent="0.3">
      <c r="A938" s="1" t="s">
        <v>98</v>
      </c>
      <c r="B938" s="1" t="s">
        <v>5</v>
      </c>
      <c r="C938" s="1">
        <v>12</v>
      </c>
      <c r="D938" s="1">
        <v>566</v>
      </c>
      <c r="E938" s="1">
        <v>4528</v>
      </c>
      <c r="F938" s="90">
        <v>8</v>
      </c>
    </row>
    <row r="939" spans="1:6" x14ac:dyDescent="0.3">
      <c r="A939" s="1" t="s">
        <v>98</v>
      </c>
      <c r="B939" s="1" t="s">
        <v>5</v>
      </c>
      <c r="C939" s="1">
        <v>15</v>
      </c>
      <c r="D939" s="1">
        <v>1</v>
      </c>
      <c r="E939" s="1">
        <v>5</v>
      </c>
      <c r="F939" s="90">
        <v>5</v>
      </c>
    </row>
    <row r="940" spans="1:6" x14ac:dyDescent="0.3">
      <c r="A940" s="1" t="s">
        <v>99</v>
      </c>
      <c r="B940" s="1" t="s">
        <v>184</v>
      </c>
      <c r="C940" s="1">
        <v>21</v>
      </c>
      <c r="D940" s="1">
        <v>1</v>
      </c>
      <c r="E940" s="1">
        <v>4</v>
      </c>
      <c r="F940" s="90">
        <v>4</v>
      </c>
    </row>
    <row r="941" spans="1:6" x14ac:dyDescent="0.3">
      <c r="A941" s="1" t="s">
        <v>99</v>
      </c>
      <c r="B941" s="1" t="s">
        <v>184</v>
      </c>
      <c r="C941" s="1">
        <v>22</v>
      </c>
      <c r="D941" s="1">
        <v>2</v>
      </c>
      <c r="E941" s="1">
        <v>8</v>
      </c>
      <c r="F941" s="90">
        <v>4</v>
      </c>
    </row>
    <row r="942" spans="1:6" x14ac:dyDescent="0.3">
      <c r="A942" s="1" t="s">
        <v>99</v>
      </c>
      <c r="B942" s="1" t="s">
        <v>183</v>
      </c>
      <c r="C942" s="1">
        <v>31</v>
      </c>
      <c r="D942" s="1">
        <v>2</v>
      </c>
      <c r="E942" s="1">
        <v>16</v>
      </c>
      <c r="F942" s="90">
        <v>8</v>
      </c>
    </row>
    <row r="943" spans="1:6" x14ac:dyDescent="0.3">
      <c r="A943" s="1" t="s">
        <v>99</v>
      </c>
      <c r="B943" s="1" t="s">
        <v>183</v>
      </c>
      <c r="C943" s="1">
        <v>35</v>
      </c>
      <c r="D943" s="1">
        <v>2</v>
      </c>
      <c r="E943" s="1">
        <v>18</v>
      </c>
      <c r="F943" s="90">
        <v>9</v>
      </c>
    </row>
    <row r="944" spans="1:6" x14ac:dyDescent="0.3">
      <c r="A944" s="1" t="s">
        <v>99</v>
      </c>
      <c r="B944" s="1" t="s">
        <v>159</v>
      </c>
      <c r="C944" s="1">
        <v>42</v>
      </c>
      <c r="D944" s="1">
        <v>2</v>
      </c>
      <c r="E944" s="1">
        <v>4</v>
      </c>
      <c r="F944" s="90">
        <v>2</v>
      </c>
    </row>
    <row r="945" spans="1:6" x14ac:dyDescent="0.3">
      <c r="A945" s="1" t="s">
        <v>99</v>
      </c>
      <c r="B945" s="1" t="s">
        <v>5</v>
      </c>
      <c r="C945" s="1">
        <v>11</v>
      </c>
      <c r="D945" s="1">
        <v>23</v>
      </c>
      <c r="E945" s="1">
        <v>161</v>
      </c>
      <c r="F945" s="90">
        <v>7</v>
      </c>
    </row>
    <row r="946" spans="1:6" x14ac:dyDescent="0.3">
      <c r="A946" s="1" t="s">
        <v>99</v>
      </c>
      <c r="B946" s="1" t="s">
        <v>5</v>
      </c>
      <c r="C946" s="1">
        <v>12</v>
      </c>
      <c r="D946" s="1">
        <v>36</v>
      </c>
      <c r="E946" s="1">
        <v>324</v>
      </c>
      <c r="F946" s="90">
        <v>9</v>
      </c>
    </row>
    <row r="947" spans="1:6" x14ac:dyDescent="0.3">
      <c r="A947" s="1" t="s">
        <v>99</v>
      </c>
      <c r="B947" s="1" t="s">
        <v>5</v>
      </c>
      <c r="C947" s="1">
        <v>13</v>
      </c>
      <c r="D947" s="1">
        <v>3</v>
      </c>
      <c r="E947" s="1">
        <v>10</v>
      </c>
      <c r="F947" s="90">
        <v>3.3333333333333299</v>
      </c>
    </row>
    <row r="948" spans="1:6" x14ac:dyDescent="0.3">
      <c r="A948" s="1" t="s">
        <v>99</v>
      </c>
      <c r="B948" s="1" t="s">
        <v>5</v>
      </c>
      <c r="C948" s="1">
        <v>14</v>
      </c>
      <c r="D948" s="1">
        <v>1</v>
      </c>
      <c r="E948" s="1">
        <v>14</v>
      </c>
      <c r="F948" s="90">
        <v>14</v>
      </c>
    </row>
    <row r="949" spans="1:6" x14ac:dyDescent="0.3">
      <c r="A949" s="1" t="s">
        <v>100</v>
      </c>
      <c r="B949" s="1" t="s">
        <v>184</v>
      </c>
      <c r="C949" s="1">
        <v>0</v>
      </c>
      <c r="D949" s="1">
        <v>24</v>
      </c>
      <c r="E949" s="1">
        <v>0</v>
      </c>
      <c r="F949" s="90">
        <v>0</v>
      </c>
    </row>
    <row r="950" spans="1:6" x14ac:dyDescent="0.3">
      <c r="A950" s="1" t="s">
        <v>100</v>
      </c>
      <c r="B950" s="1" t="s">
        <v>184</v>
      </c>
      <c r="C950" s="1">
        <v>21</v>
      </c>
      <c r="D950" s="1">
        <v>52</v>
      </c>
      <c r="E950" s="1">
        <v>208</v>
      </c>
      <c r="F950" s="90">
        <v>4</v>
      </c>
    </row>
    <row r="951" spans="1:6" x14ac:dyDescent="0.3">
      <c r="A951" s="1" t="s">
        <v>100</v>
      </c>
      <c r="B951" s="1" t="s">
        <v>184</v>
      </c>
      <c r="C951" s="1">
        <v>22</v>
      </c>
      <c r="D951" s="1">
        <v>241</v>
      </c>
      <c r="E951" s="1">
        <v>964</v>
      </c>
      <c r="F951" s="90">
        <v>4</v>
      </c>
    </row>
    <row r="952" spans="1:6" x14ac:dyDescent="0.3">
      <c r="A952" s="1" t="s">
        <v>100</v>
      </c>
      <c r="B952" s="1" t="s">
        <v>183</v>
      </c>
      <c r="C952" s="1">
        <v>0</v>
      </c>
      <c r="D952" s="1">
        <v>8</v>
      </c>
      <c r="E952" s="1">
        <v>0</v>
      </c>
      <c r="F952" s="90">
        <v>0</v>
      </c>
    </row>
    <row r="953" spans="1:6" x14ac:dyDescent="0.3">
      <c r="A953" s="1" t="s">
        <v>100</v>
      </c>
      <c r="B953" s="1" t="s">
        <v>183</v>
      </c>
      <c r="C953" s="1">
        <v>31</v>
      </c>
      <c r="D953" s="1">
        <v>78</v>
      </c>
      <c r="E953" s="1">
        <v>624</v>
      </c>
      <c r="F953" s="90">
        <v>8</v>
      </c>
    </row>
    <row r="954" spans="1:6" x14ac:dyDescent="0.3">
      <c r="A954" s="1" t="s">
        <v>100</v>
      </c>
      <c r="B954" s="1" t="s">
        <v>183</v>
      </c>
      <c r="C954" s="1">
        <v>32</v>
      </c>
      <c r="D954" s="1">
        <v>228</v>
      </c>
      <c r="E954" s="1">
        <v>2280</v>
      </c>
      <c r="F954" s="90">
        <v>10</v>
      </c>
    </row>
    <row r="955" spans="1:6" x14ac:dyDescent="0.3">
      <c r="A955" s="1" t="s">
        <v>100</v>
      </c>
      <c r="B955" s="1" t="s">
        <v>183</v>
      </c>
      <c r="C955" s="1">
        <v>36</v>
      </c>
      <c r="D955" s="1">
        <v>1</v>
      </c>
      <c r="E955" s="1">
        <v>15</v>
      </c>
      <c r="F955" s="90">
        <v>15</v>
      </c>
    </row>
    <row r="956" spans="1:6" x14ac:dyDescent="0.3">
      <c r="A956" s="1" t="s">
        <v>100</v>
      </c>
      <c r="B956" s="1" t="s">
        <v>159</v>
      </c>
      <c r="C956" s="1">
        <v>40</v>
      </c>
      <c r="D956" s="1">
        <v>1</v>
      </c>
      <c r="E956" s="1">
        <v>0</v>
      </c>
      <c r="F956" s="90">
        <v>0</v>
      </c>
    </row>
    <row r="957" spans="1:6" x14ac:dyDescent="0.3">
      <c r="A957" s="1" t="s">
        <v>100</v>
      </c>
      <c r="B957" s="1" t="s">
        <v>159</v>
      </c>
      <c r="C957" s="1">
        <v>41</v>
      </c>
      <c r="D957" s="1">
        <v>2</v>
      </c>
      <c r="E957" s="1">
        <v>4</v>
      </c>
      <c r="F957" s="90">
        <v>2</v>
      </c>
    </row>
    <row r="958" spans="1:6" x14ac:dyDescent="0.3">
      <c r="A958" s="1" t="s">
        <v>100</v>
      </c>
      <c r="B958" s="1" t="s">
        <v>159</v>
      </c>
      <c r="C958" s="1">
        <v>42</v>
      </c>
      <c r="D958" s="1">
        <v>1120</v>
      </c>
      <c r="E958" s="1">
        <v>2240</v>
      </c>
      <c r="F958" s="90">
        <v>2</v>
      </c>
    </row>
    <row r="959" spans="1:6" x14ac:dyDescent="0.3">
      <c r="A959" s="1" t="s">
        <v>100</v>
      </c>
      <c r="B959" s="1" t="s">
        <v>5</v>
      </c>
      <c r="C959" s="1">
        <v>0</v>
      </c>
      <c r="D959" s="1">
        <v>497</v>
      </c>
      <c r="E959" s="1">
        <v>0</v>
      </c>
      <c r="F959" s="90">
        <v>0</v>
      </c>
    </row>
    <row r="960" spans="1:6" x14ac:dyDescent="0.3">
      <c r="A960" s="1" t="s">
        <v>100</v>
      </c>
      <c r="B960" s="1" t="s">
        <v>5</v>
      </c>
      <c r="C960" s="1">
        <v>11</v>
      </c>
      <c r="D960" s="1">
        <v>511</v>
      </c>
      <c r="E960" s="1">
        <v>4088</v>
      </c>
      <c r="F960" s="90">
        <v>8</v>
      </c>
    </row>
    <row r="961" spans="1:6" x14ac:dyDescent="0.3">
      <c r="A961" s="1" t="s">
        <v>100</v>
      </c>
      <c r="B961" s="1" t="s">
        <v>5</v>
      </c>
      <c r="C961" s="1">
        <v>12</v>
      </c>
      <c r="D961" s="1">
        <v>3610</v>
      </c>
      <c r="E961" s="1">
        <v>36100</v>
      </c>
      <c r="F961" s="90">
        <v>10</v>
      </c>
    </row>
    <row r="962" spans="1:6" x14ac:dyDescent="0.3">
      <c r="A962" s="1" t="s">
        <v>100</v>
      </c>
      <c r="B962" s="1" t="s">
        <v>5</v>
      </c>
      <c r="C962" s="1">
        <v>13</v>
      </c>
      <c r="D962" s="1">
        <v>2</v>
      </c>
      <c r="E962" s="1">
        <v>9</v>
      </c>
      <c r="F962" s="90">
        <v>4.5</v>
      </c>
    </row>
    <row r="963" spans="1:6" x14ac:dyDescent="0.3">
      <c r="A963" s="1" t="s">
        <v>100</v>
      </c>
      <c r="B963" s="1" t="s">
        <v>5</v>
      </c>
      <c r="C963" s="1">
        <v>14</v>
      </c>
      <c r="D963" s="1">
        <v>3</v>
      </c>
      <c r="E963" s="1">
        <v>36</v>
      </c>
      <c r="F963" s="90">
        <v>12</v>
      </c>
    </row>
    <row r="964" spans="1:6" x14ac:dyDescent="0.3">
      <c r="A964" s="1" t="s">
        <v>100</v>
      </c>
      <c r="B964" s="1" t="s">
        <v>5</v>
      </c>
      <c r="C964" s="1">
        <v>15</v>
      </c>
      <c r="D964" s="1">
        <v>45</v>
      </c>
      <c r="E964" s="1">
        <v>156</v>
      </c>
      <c r="F964" s="90">
        <v>3.4666666666666699</v>
      </c>
    </row>
    <row r="965" spans="1:6" x14ac:dyDescent="0.3">
      <c r="A965" s="1" t="s">
        <v>100</v>
      </c>
      <c r="B965" s="1" t="s">
        <v>5</v>
      </c>
      <c r="C965" s="1">
        <v>16</v>
      </c>
      <c r="D965" s="1">
        <v>3</v>
      </c>
      <c r="E965" s="1">
        <v>37.5</v>
      </c>
      <c r="F965" s="90">
        <v>12.5</v>
      </c>
    </row>
    <row r="966" spans="1:6" x14ac:dyDescent="0.3">
      <c r="A966" s="1" t="s">
        <v>101</v>
      </c>
      <c r="B966" s="1" t="s">
        <v>184</v>
      </c>
      <c r="C966" s="1">
        <v>0</v>
      </c>
      <c r="D966" s="1">
        <v>2</v>
      </c>
      <c r="E966" s="1">
        <v>0</v>
      </c>
      <c r="F966" s="90">
        <v>0</v>
      </c>
    </row>
    <row r="967" spans="1:6" x14ac:dyDescent="0.3">
      <c r="A967" s="1" t="s">
        <v>101</v>
      </c>
      <c r="B967" s="1" t="s">
        <v>184</v>
      </c>
      <c r="C967" s="1">
        <v>21</v>
      </c>
      <c r="D967" s="1">
        <v>6</v>
      </c>
      <c r="E967" s="1">
        <v>24</v>
      </c>
      <c r="F967" s="90">
        <v>4</v>
      </c>
    </row>
    <row r="968" spans="1:6" x14ac:dyDescent="0.3">
      <c r="A968" s="1" t="s">
        <v>101</v>
      </c>
      <c r="B968" s="1" t="s">
        <v>184</v>
      </c>
      <c r="C968" s="1">
        <v>22</v>
      </c>
      <c r="D968" s="1">
        <v>71</v>
      </c>
      <c r="E968" s="1">
        <v>284</v>
      </c>
      <c r="F968" s="90">
        <v>4</v>
      </c>
    </row>
    <row r="969" spans="1:6" x14ac:dyDescent="0.3">
      <c r="A969" s="1" t="s">
        <v>101</v>
      </c>
      <c r="B969" s="1" t="s">
        <v>184</v>
      </c>
      <c r="C969" s="1">
        <v>26</v>
      </c>
      <c r="D969" s="1">
        <v>1</v>
      </c>
      <c r="E969" s="1">
        <v>6</v>
      </c>
      <c r="F969" s="90">
        <v>6</v>
      </c>
    </row>
    <row r="970" spans="1:6" x14ac:dyDescent="0.3">
      <c r="A970" s="1" t="s">
        <v>101</v>
      </c>
      <c r="B970" s="1" t="s">
        <v>183</v>
      </c>
      <c r="C970" s="1">
        <v>0</v>
      </c>
      <c r="D970" s="1">
        <v>2</v>
      </c>
      <c r="E970" s="1">
        <v>0</v>
      </c>
      <c r="F970" s="90">
        <v>0</v>
      </c>
    </row>
    <row r="971" spans="1:6" x14ac:dyDescent="0.3">
      <c r="A971" s="1" t="s">
        <v>101</v>
      </c>
      <c r="B971" s="1" t="s">
        <v>183</v>
      </c>
      <c r="C971" s="1">
        <v>31</v>
      </c>
      <c r="D971" s="1">
        <v>9</v>
      </c>
      <c r="E971" s="1">
        <v>72</v>
      </c>
      <c r="F971" s="90">
        <v>8</v>
      </c>
    </row>
    <row r="972" spans="1:6" x14ac:dyDescent="0.3">
      <c r="A972" s="1" t="s">
        <v>101</v>
      </c>
      <c r="B972" s="1" t="s">
        <v>183</v>
      </c>
      <c r="C972" s="1">
        <v>32</v>
      </c>
      <c r="D972" s="1">
        <v>4</v>
      </c>
      <c r="E972" s="1">
        <v>40</v>
      </c>
      <c r="F972" s="90">
        <v>10</v>
      </c>
    </row>
    <row r="973" spans="1:6" x14ac:dyDescent="0.3">
      <c r="A973" s="1" t="s">
        <v>101</v>
      </c>
      <c r="B973" s="1" t="s">
        <v>183</v>
      </c>
      <c r="C973" s="1">
        <v>35</v>
      </c>
      <c r="D973" s="1">
        <v>38</v>
      </c>
      <c r="E973" s="1">
        <v>228</v>
      </c>
      <c r="F973" s="90">
        <v>6</v>
      </c>
    </row>
    <row r="974" spans="1:6" x14ac:dyDescent="0.3">
      <c r="A974" s="1" t="s">
        <v>101</v>
      </c>
      <c r="B974" s="1" t="s">
        <v>159</v>
      </c>
      <c r="C974" s="1">
        <v>41</v>
      </c>
      <c r="D974" s="1">
        <v>1</v>
      </c>
      <c r="E974" s="1">
        <v>2</v>
      </c>
      <c r="F974" s="90">
        <v>2</v>
      </c>
    </row>
    <row r="975" spans="1:6" x14ac:dyDescent="0.3">
      <c r="A975" s="1" t="s">
        <v>101</v>
      </c>
      <c r="B975" s="1" t="s">
        <v>159</v>
      </c>
      <c r="C975" s="1">
        <v>42</v>
      </c>
      <c r="D975" s="1">
        <v>15</v>
      </c>
      <c r="E975" s="1">
        <v>30</v>
      </c>
      <c r="F975" s="90">
        <v>2</v>
      </c>
    </row>
    <row r="976" spans="1:6" x14ac:dyDescent="0.3">
      <c r="A976" s="1" t="s">
        <v>101</v>
      </c>
      <c r="B976" s="1" t="s">
        <v>5</v>
      </c>
      <c r="C976" s="1">
        <v>0</v>
      </c>
      <c r="D976" s="1">
        <v>143</v>
      </c>
      <c r="E976" s="1">
        <v>0</v>
      </c>
      <c r="F976" s="90">
        <v>0</v>
      </c>
    </row>
    <row r="977" spans="1:6" x14ac:dyDescent="0.3">
      <c r="A977" s="1" t="s">
        <v>101</v>
      </c>
      <c r="B977" s="1" t="s">
        <v>5</v>
      </c>
      <c r="C977" s="1">
        <v>11</v>
      </c>
      <c r="D977" s="1">
        <v>239</v>
      </c>
      <c r="E977" s="1">
        <v>1195</v>
      </c>
      <c r="F977" s="90">
        <v>5</v>
      </c>
    </row>
    <row r="978" spans="1:6" x14ac:dyDescent="0.3">
      <c r="A978" s="1" t="s">
        <v>101</v>
      </c>
      <c r="B978" s="1" t="s">
        <v>5</v>
      </c>
      <c r="C978" s="1">
        <v>12</v>
      </c>
      <c r="D978" s="1">
        <v>1049</v>
      </c>
      <c r="E978" s="1">
        <v>6294</v>
      </c>
      <c r="F978" s="90">
        <v>6</v>
      </c>
    </row>
    <row r="979" spans="1:6" x14ac:dyDescent="0.3">
      <c r="A979" s="1" t="s">
        <v>101</v>
      </c>
      <c r="B979" s="1" t="s">
        <v>5</v>
      </c>
      <c r="C979" s="1">
        <v>13</v>
      </c>
      <c r="D979" s="1">
        <v>2</v>
      </c>
      <c r="E979" s="1">
        <v>4</v>
      </c>
      <c r="F979" s="90">
        <v>2</v>
      </c>
    </row>
    <row r="980" spans="1:6" x14ac:dyDescent="0.3">
      <c r="A980" s="1" t="s">
        <v>101</v>
      </c>
      <c r="B980" s="1" t="s">
        <v>5</v>
      </c>
      <c r="C980" s="1">
        <v>14</v>
      </c>
      <c r="D980" s="1">
        <v>2</v>
      </c>
      <c r="E980" s="1">
        <v>15</v>
      </c>
      <c r="F980" s="90">
        <v>7.5</v>
      </c>
    </row>
    <row r="981" spans="1:6" x14ac:dyDescent="0.3">
      <c r="A981" s="1" t="s">
        <v>101</v>
      </c>
      <c r="B981" s="1" t="s">
        <v>5</v>
      </c>
      <c r="C981" s="1">
        <v>15</v>
      </c>
      <c r="D981" s="1">
        <v>3</v>
      </c>
      <c r="E981" s="1">
        <v>12</v>
      </c>
      <c r="F981" s="90">
        <v>4</v>
      </c>
    </row>
    <row r="982" spans="1:6" x14ac:dyDescent="0.3">
      <c r="A982" s="1" t="s">
        <v>102</v>
      </c>
      <c r="B982" s="1" t="s">
        <v>184</v>
      </c>
      <c r="C982" s="1">
        <v>22</v>
      </c>
      <c r="D982" s="1">
        <v>6</v>
      </c>
      <c r="E982" s="1">
        <v>24</v>
      </c>
      <c r="F982" s="90">
        <v>4</v>
      </c>
    </row>
    <row r="983" spans="1:6" x14ac:dyDescent="0.3">
      <c r="A983" s="1" t="s">
        <v>102</v>
      </c>
      <c r="B983" s="1" t="s">
        <v>183</v>
      </c>
      <c r="C983" s="1">
        <v>0</v>
      </c>
      <c r="D983" s="1">
        <v>1</v>
      </c>
      <c r="E983" s="1">
        <v>0</v>
      </c>
      <c r="F983" s="90">
        <v>0</v>
      </c>
    </row>
    <row r="984" spans="1:6" x14ac:dyDescent="0.3">
      <c r="A984" s="1" t="s">
        <v>102</v>
      </c>
      <c r="B984" s="1" t="s">
        <v>183</v>
      </c>
      <c r="C984" s="1">
        <v>32</v>
      </c>
      <c r="D984" s="1">
        <v>1</v>
      </c>
      <c r="E984" s="1">
        <v>10</v>
      </c>
      <c r="F984" s="90">
        <v>10</v>
      </c>
    </row>
    <row r="985" spans="1:6" x14ac:dyDescent="0.3">
      <c r="A985" s="1" t="s">
        <v>102</v>
      </c>
      <c r="B985" s="1" t="s">
        <v>5</v>
      </c>
      <c r="C985" s="1">
        <v>0</v>
      </c>
      <c r="D985" s="1">
        <v>33</v>
      </c>
      <c r="E985" s="1">
        <v>0</v>
      </c>
      <c r="F985" s="90">
        <v>0</v>
      </c>
    </row>
    <row r="986" spans="1:6" x14ac:dyDescent="0.3">
      <c r="A986" s="1" t="s">
        <v>102</v>
      </c>
      <c r="B986" s="1" t="s">
        <v>5</v>
      </c>
      <c r="C986" s="1">
        <v>11</v>
      </c>
      <c r="D986" s="1">
        <v>36</v>
      </c>
      <c r="E986" s="1">
        <v>144</v>
      </c>
      <c r="F986" s="90">
        <v>4</v>
      </c>
    </row>
    <row r="987" spans="1:6" x14ac:dyDescent="0.3">
      <c r="A987" s="1" t="s">
        <v>102</v>
      </c>
      <c r="B987" s="1" t="s">
        <v>5</v>
      </c>
      <c r="C987" s="1">
        <v>12</v>
      </c>
      <c r="D987" s="1">
        <v>337</v>
      </c>
      <c r="E987" s="1">
        <v>2359</v>
      </c>
      <c r="F987" s="90">
        <v>7</v>
      </c>
    </row>
    <row r="988" spans="1:6" x14ac:dyDescent="0.3">
      <c r="A988" s="1" t="s">
        <v>102</v>
      </c>
      <c r="B988" s="1" t="s">
        <v>5</v>
      </c>
      <c r="C988" s="1">
        <v>13</v>
      </c>
      <c r="D988" s="1">
        <v>1</v>
      </c>
      <c r="E988" s="1">
        <v>2</v>
      </c>
      <c r="F988" s="90">
        <v>2</v>
      </c>
    </row>
    <row r="989" spans="1:6" x14ac:dyDescent="0.3">
      <c r="A989" s="1" t="s">
        <v>102</v>
      </c>
      <c r="B989" s="1" t="s">
        <v>5</v>
      </c>
      <c r="C989" s="1">
        <v>14</v>
      </c>
      <c r="D989" s="1">
        <v>18</v>
      </c>
      <c r="E989" s="1">
        <v>126</v>
      </c>
      <c r="F989" s="90">
        <v>7</v>
      </c>
    </row>
    <row r="990" spans="1:6" x14ac:dyDescent="0.3">
      <c r="A990" s="1" t="s">
        <v>102</v>
      </c>
      <c r="B990" s="1" t="s">
        <v>5</v>
      </c>
      <c r="C990" s="1">
        <v>15</v>
      </c>
      <c r="D990" s="1">
        <v>7</v>
      </c>
      <c r="E990" s="1">
        <v>28</v>
      </c>
      <c r="F990" s="90">
        <v>4</v>
      </c>
    </row>
    <row r="991" spans="1:6" x14ac:dyDescent="0.3">
      <c r="A991" s="1" t="s">
        <v>102</v>
      </c>
      <c r="B991" s="1" t="s">
        <v>5</v>
      </c>
      <c r="C991" s="1">
        <v>16</v>
      </c>
      <c r="D991" s="1">
        <v>93</v>
      </c>
      <c r="E991" s="1">
        <v>841.5</v>
      </c>
      <c r="F991" s="90">
        <v>9.0483870967741904</v>
      </c>
    </row>
    <row r="992" spans="1:6" x14ac:dyDescent="0.3">
      <c r="A992" s="1" t="s">
        <v>103</v>
      </c>
      <c r="B992" s="1" t="s">
        <v>183</v>
      </c>
      <c r="C992" s="1">
        <v>35</v>
      </c>
      <c r="D992" s="1">
        <v>1</v>
      </c>
      <c r="E992" s="1">
        <v>8</v>
      </c>
      <c r="F992" s="90">
        <v>8</v>
      </c>
    </row>
    <row r="993" spans="1:6" x14ac:dyDescent="0.3">
      <c r="A993" s="1" t="s">
        <v>103</v>
      </c>
      <c r="B993" s="1" t="s">
        <v>5</v>
      </c>
      <c r="C993" s="1">
        <v>0</v>
      </c>
      <c r="D993" s="1">
        <v>313</v>
      </c>
      <c r="E993" s="1">
        <v>0</v>
      </c>
      <c r="F993" s="90">
        <v>0</v>
      </c>
    </row>
    <row r="994" spans="1:6" x14ac:dyDescent="0.3">
      <c r="A994" s="1" t="s">
        <v>103</v>
      </c>
      <c r="B994" s="1" t="s">
        <v>5</v>
      </c>
      <c r="C994" s="1">
        <v>11</v>
      </c>
      <c r="D994" s="1">
        <v>752</v>
      </c>
      <c r="E994" s="1">
        <v>6016</v>
      </c>
      <c r="F994" s="90">
        <v>8</v>
      </c>
    </row>
    <row r="995" spans="1:6" x14ac:dyDescent="0.3">
      <c r="A995" s="1" t="s">
        <v>103</v>
      </c>
      <c r="B995" s="1" t="s">
        <v>5</v>
      </c>
      <c r="C995" s="1">
        <v>12</v>
      </c>
      <c r="D995" s="1">
        <v>9995</v>
      </c>
      <c r="E995" s="1">
        <v>79960</v>
      </c>
      <c r="F995" s="90">
        <v>8</v>
      </c>
    </row>
    <row r="996" spans="1:6" x14ac:dyDescent="0.3">
      <c r="A996" s="1" t="s">
        <v>103</v>
      </c>
      <c r="B996" s="1" t="s">
        <v>5</v>
      </c>
      <c r="C996" s="1">
        <v>14</v>
      </c>
      <c r="D996" s="1">
        <v>12</v>
      </c>
      <c r="E996" s="1">
        <v>152</v>
      </c>
      <c r="F996" s="90">
        <v>12.6666666666667</v>
      </c>
    </row>
    <row r="997" spans="1:6" x14ac:dyDescent="0.3">
      <c r="A997" s="1" t="s">
        <v>103</v>
      </c>
      <c r="B997" s="1" t="s">
        <v>5</v>
      </c>
      <c r="C997" s="1">
        <v>16</v>
      </c>
      <c r="D997" s="1">
        <v>286</v>
      </c>
      <c r="E997" s="1">
        <v>3416.5</v>
      </c>
      <c r="F997" s="90">
        <v>11.9458041958042</v>
      </c>
    </row>
    <row r="998" spans="1:6" x14ac:dyDescent="0.3">
      <c r="A998" s="1" t="s">
        <v>104</v>
      </c>
      <c r="B998" s="1" t="s">
        <v>183</v>
      </c>
      <c r="C998" s="1">
        <v>31</v>
      </c>
      <c r="D998" s="1">
        <v>1</v>
      </c>
      <c r="E998" s="1">
        <v>8</v>
      </c>
      <c r="F998" s="90">
        <v>8</v>
      </c>
    </row>
    <row r="999" spans="1:6" x14ac:dyDescent="0.3">
      <c r="A999" s="1" t="s">
        <v>104</v>
      </c>
      <c r="B999" s="1" t="s">
        <v>5</v>
      </c>
      <c r="C999" s="1">
        <v>0</v>
      </c>
      <c r="D999" s="1">
        <v>75</v>
      </c>
      <c r="E999" s="1">
        <v>0</v>
      </c>
      <c r="F999" s="90">
        <v>0</v>
      </c>
    </row>
    <row r="1000" spans="1:6" x14ac:dyDescent="0.3">
      <c r="A1000" s="1" t="s">
        <v>104</v>
      </c>
      <c r="B1000" s="1" t="s">
        <v>5</v>
      </c>
      <c r="C1000" s="1">
        <v>11</v>
      </c>
      <c r="D1000" s="1">
        <v>341</v>
      </c>
      <c r="E1000" s="1">
        <v>4092</v>
      </c>
      <c r="F1000" s="90">
        <v>12</v>
      </c>
    </row>
    <row r="1001" spans="1:6" x14ac:dyDescent="0.3">
      <c r="A1001" s="1" t="s">
        <v>104</v>
      </c>
      <c r="B1001" s="1" t="s">
        <v>5</v>
      </c>
      <c r="C1001" s="1">
        <v>12</v>
      </c>
      <c r="D1001" s="1">
        <v>977</v>
      </c>
      <c r="E1001" s="1">
        <v>9770</v>
      </c>
      <c r="F1001" s="90">
        <v>10</v>
      </c>
    </row>
    <row r="1002" spans="1:6" x14ac:dyDescent="0.3">
      <c r="A1002" s="1" t="s">
        <v>104</v>
      </c>
      <c r="B1002" s="1" t="s">
        <v>5</v>
      </c>
      <c r="C1002" s="1">
        <v>13</v>
      </c>
      <c r="D1002" s="1">
        <v>2</v>
      </c>
      <c r="E1002" s="1">
        <v>16</v>
      </c>
      <c r="F1002" s="90">
        <v>8</v>
      </c>
    </row>
    <row r="1003" spans="1:6" x14ac:dyDescent="0.3">
      <c r="A1003" s="1" t="s">
        <v>104</v>
      </c>
      <c r="B1003" s="1" t="s">
        <v>5</v>
      </c>
      <c r="C1003" s="1">
        <v>14</v>
      </c>
      <c r="D1003" s="1">
        <v>7</v>
      </c>
      <c r="E1003" s="1">
        <v>128</v>
      </c>
      <c r="F1003" s="90">
        <v>18.285714285714299</v>
      </c>
    </row>
    <row r="1004" spans="1:6" x14ac:dyDescent="0.3">
      <c r="A1004" s="1" t="s">
        <v>104</v>
      </c>
      <c r="B1004" s="1" t="s">
        <v>5</v>
      </c>
      <c r="C1004" s="1">
        <v>15</v>
      </c>
      <c r="D1004" s="1">
        <v>18</v>
      </c>
      <c r="E1004" s="1">
        <v>162</v>
      </c>
      <c r="F1004" s="90">
        <v>9</v>
      </c>
    </row>
    <row r="1005" spans="1:6" x14ac:dyDescent="0.3">
      <c r="A1005" s="1" t="s">
        <v>104</v>
      </c>
      <c r="B1005" s="1" t="s">
        <v>5</v>
      </c>
      <c r="C1005" s="1">
        <v>16</v>
      </c>
      <c r="D1005" s="1">
        <v>546</v>
      </c>
      <c r="E1005" s="1">
        <v>6605.5</v>
      </c>
      <c r="F1005" s="90">
        <v>12.097985347985301</v>
      </c>
    </row>
    <row r="1006" spans="1:6" x14ac:dyDescent="0.3">
      <c r="A1006" s="1" t="s">
        <v>105</v>
      </c>
      <c r="B1006" s="1" t="s">
        <v>184</v>
      </c>
      <c r="C1006" s="1">
        <v>22</v>
      </c>
      <c r="D1006" s="1">
        <v>2</v>
      </c>
      <c r="E1006" s="1">
        <v>8</v>
      </c>
      <c r="F1006" s="90">
        <v>4</v>
      </c>
    </row>
    <row r="1007" spans="1:6" x14ac:dyDescent="0.3">
      <c r="A1007" s="1" t="s">
        <v>105</v>
      </c>
      <c r="B1007" s="1" t="s">
        <v>5</v>
      </c>
      <c r="C1007" s="1">
        <v>0</v>
      </c>
      <c r="D1007" s="1">
        <v>113</v>
      </c>
      <c r="E1007" s="1">
        <v>0</v>
      </c>
      <c r="F1007" s="90">
        <v>0</v>
      </c>
    </row>
    <row r="1008" spans="1:6" x14ac:dyDescent="0.3">
      <c r="A1008" s="1" t="s">
        <v>105</v>
      </c>
      <c r="B1008" s="1" t="s">
        <v>5</v>
      </c>
      <c r="C1008" s="1">
        <v>11</v>
      </c>
      <c r="D1008" s="1">
        <v>382</v>
      </c>
      <c r="E1008" s="1">
        <v>1528</v>
      </c>
      <c r="F1008" s="90">
        <v>4</v>
      </c>
    </row>
    <row r="1009" spans="1:6" x14ac:dyDescent="0.3">
      <c r="A1009" s="1" t="s">
        <v>105</v>
      </c>
      <c r="B1009" s="1" t="s">
        <v>5</v>
      </c>
      <c r="C1009" s="1">
        <v>12</v>
      </c>
      <c r="D1009" s="1">
        <v>4180</v>
      </c>
      <c r="E1009" s="1">
        <v>25080</v>
      </c>
      <c r="F1009" s="90">
        <v>6</v>
      </c>
    </row>
    <row r="1010" spans="1:6" x14ac:dyDescent="0.3">
      <c r="A1010" s="1" t="s">
        <v>105</v>
      </c>
      <c r="B1010" s="1" t="s">
        <v>5</v>
      </c>
      <c r="C1010" s="1">
        <v>13</v>
      </c>
      <c r="D1010" s="1">
        <v>1</v>
      </c>
      <c r="E1010" s="1">
        <v>2</v>
      </c>
      <c r="F1010" s="90">
        <v>2</v>
      </c>
    </row>
    <row r="1011" spans="1:6" x14ac:dyDescent="0.3">
      <c r="A1011" s="1" t="s">
        <v>105</v>
      </c>
      <c r="B1011" s="1" t="s">
        <v>5</v>
      </c>
      <c r="C1011" s="1">
        <v>14</v>
      </c>
      <c r="D1011" s="1">
        <v>8</v>
      </c>
      <c r="E1011" s="1">
        <v>58</v>
      </c>
      <c r="F1011" s="90">
        <v>7.25</v>
      </c>
    </row>
    <row r="1012" spans="1:6" x14ac:dyDescent="0.3">
      <c r="A1012" s="1" t="s">
        <v>105</v>
      </c>
      <c r="B1012" s="1" t="s">
        <v>5</v>
      </c>
      <c r="C1012" s="1">
        <v>15</v>
      </c>
      <c r="D1012" s="1">
        <v>4</v>
      </c>
      <c r="E1012" s="1">
        <v>18</v>
      </c>
      <c r="F1012" s="90">
        <v>4.5</v>
      </c>
    </row>
    <row r="1013" spans="1:6" x14ac:dyDescent="0.3">
      <c r="A1013" s="1" t="s">
        <v>105</v>
      </c>
      <c r="B1013" s="1" t="s">
        <v>5</v>
      </c>
      <c r="C1013" s="1">
        <v>16</v>
      </c>
      <c r="D1013" s="1">
        <v>37</v>
      </c>
      <c r="E1013" s="1">
        <v>331</v>
      </c>
      <c r="F1013" s="90">
        <v>8.9459459459459492</v>
      </c>
    </row>
    <row r="1014" spans="1:6" x14ac:dyDescent="0.3">
      <c r="A1014" s="1" t="s">
        <v>106</v>
      </c>
      <c r="B1014" s="1" t="s">
        <v>159</v>
      </c>
      <c r="C1014" s="1">
        <v>41</v>
      </c>
      <c r="D1014" s="1">
        <v>20</v>
      </c>
      <c r="E1014" s="1">
        <v>40</v>
      </c>
      <c r="F1014" s="90">
        <v>2</v>
      </c>
    </row>
    <row r="1015" spans="1:6" x14ac:dyDescent="0.3">
      <c r="A1015" s="1" t="s">
        <v>106</v>
      </c>
      <c r="B1015" s="1" t="s">
        <v>159</v>
      </c>
      <c r="C1015" s="1">
        <v>42</v>
      </c>
      <c r="D1015" s="1">
        <v>507</v>
      </c>
      <c r="E1015" s="1">
        <v>1014</v>
      </c>
      <c r="F1015" s="90">
        <v>2</v>
      </c>
    </row>
    <row r="1016" spans="1:6" x14ac:dyDescent="0.3">
      <c r="A1016" s="1" t="s">
        <v>106</v>
      </c>
      <c r="B1016" s="1" t="s">
        <v>5</v>
      </c>
      <c r="C1016" s="1">
        <v>11</v>
      </c>
      <c r="D1016" s="1">
        <v>5</v>
      </c>
      <c r="E1016" s="1">
        <v>10</v>
      </c>
      <c r="F1016" s="90">
        <v>2</v>
      </c>
    </row>
    <row r="1017" spans="1:6" x14ac:dyDescent="0.3">
      <c r="A1017" s="1" t="s">
        <v>106</v>
      </c>
      <c r="B1017" s="1" t="s">
        <v>5</v>
      </c>
      <c r="C1017" s="1">
        <v>12</v>
      </c>
      <c r="D1017" s="1">
        <v>8</v>
      </c>
      <c r="E1017" s="1">
        <v>16</v>
      </c>
      <c r="F1017" s="90">
        <v>2</v>
      </c>
    </row>
    <row r="1018" spans="1:6" x14ac:dyDescent="0.3">
      <c r="A1018" s="1" t="s">
        <v>107</v>
      </c>
      <c r="B1018" s="1" t="s">
        <v>184</v>
      </c>
      <c r="C1018" s="1">
        <v>21</v>
      </c>
      <c r="D1018" s="1">
        <v>2</v>
      </c>
      <c r="E1018" s="1">
        <v>8</v>
      </c>
      <c r="F1018" s="90">
        <v>4</v>
      </c>
    </row>
    <row r="1019" spans="1:6" x14ac:dyDescent="0.3">
      <c r="A1019" s="1" t="s">
        <v>107</v>
      </c>
      <c r="B1019" s="1" t="s">
        <v>184</v>
      </c>
      <c r="C1019" s="1">
        <v>22</v>
      </c>
      <c r="D1019" s="1">
        <v>3</v>
      </c>
      <c r="E1019" s="1">
        <v>12</v>
      </c>
      <c r="F1019" s="90">
        <v>4</v>
      </c>
    </row>
    <row r="1020" spans="1:6" x14ac:dyDescent="0.3">
      <c r="A1020" s="1" t="s">
        <v>107</v>
      </c>
      <c r="B1020" s="1" t="s">
        <v>184</v>
      </c>
      <c r="C1020" s="1">
        <v>23</v>
      </c>
      <c r="D1020" s="1">
        <v>1</v>
      </c>
      <c r="E1020" s="1">
        <v>2</v>
      </c>
      <c r="F1020" s="90">
        <v>2</v>
      </c>
    </row>
    <row r="1021" spans="1:6" x14ac:dyDescent="0.3">
      <c r="A1021" s="1" t="s">
        <v>107</v>
      </c>
      <c r="B1021" s="1" t="s">
        <v>183</v>
      </c>
      <c r="C1021" s="1">
        <v>31</v>
      </c>
      <c r="D1021" s="1">
        <v>1</v>
      </c>
      <c r="E1021" s="1">
        <v>8</v>
      </c>
      <c r="F1021" s="90">
        <v>8</v>
      </c>
    </row>
    <row r="1022" spans="1:6" x14ac:dyDescent="0.3">
      <c r="A1022" s="1" t="s">
        <v>107</v>
      </c>
      <c r="B1022" s="1" t="s">
        <v>183</v>
      </c>
      <c r="C1022" s="1">
        <v>32</v>
      </c>
      <c r="D1022" s="1">
        <v>3</v>
      </c>
      <c r="E1022" s="1">
        <v>30</v>
      </c>
      <c r="F1022" s="90">
        <v>10</v>
      </c>
    </row>
    <row r="1023" spans="1:6" x14ac:dyDescent="0.3">
      <c r="A1023" s="1" t="s">
        <v>107</v>
      </c>
      <c r="B1023" s="1" t="s">
        <v>159</v>
      </c>
      <c r="C1023" s="1">
        <v>42</v>
      </c>
      <c r="D1023" s="1">
        <v>3</v>
      </c>
      <c r="E1023" s="1">
        <v>6</v>
      </c>
      <c r="F1023" s="90">
        <v>2</v>
      </c>
    </row>
    <row r="1024" spans="1:6" x14ac:dyDescent="0.3">
      <c r="A1024" s="1" t="s">
        <v>107</v>
      </c>
      <c r="B1024" s="1" t="s">
        <v>5</v>
      </c>
      <c r="C1024" s="1">
        <v>0</v>
      </c>
      <c r="D1024" s="1">
        <v>1</v>
      </c>
      <c r="E1024" s="1">
        <v>0</v>
      </c>
      <c r="F1024" s="90">
        <v>0</v>
      </c>
    </row>
    <row r="1025" spans="1:6" x14ac:dyDescent="0.3">
      <c r="A1025" s="1" t="s">
        <v>107</v>
      </c>
      <c r="B1025" s="1" t="s">
        <v>5</v>
      </c>
      <c r="C1025" s="1">
        <v>11</v>
      </c>
      <c r="D1025" s="1">
        <v>2</v>
      </c>
      <c r="E1025" s="1">
        <v>14</v>
      </c>
      <c r="F1025" s="90">
        <v>7</v>
      </c>
    </row>
    <row r="1026" spans="1:6" x14ac:dyDescent="0.3">
      <c r="A1026" s="1" t="s">
        <v>107</v>
      </c>
      <c r="B1026" s="1" t="s">
        <v>5</v>
      </c>
      <c r="C1026" s="1">
        <v>13</v>
      </c>
      <c r="D1026" s="1">
        <v>1</v>
      </c>
      <c r="E1026" s="1">
        <v>4</v>
      </c>
      <c r="F1026" s="90">
        <v>4</v>
      </c>
    </row>
    <row r="1027" spans="1:6" x14ac:dyDescent="0.3">
      <c r="A1027" s="1" t="s">
        <v>107</v>
      </c>
      <c r="B1027" s="1" t="s">
        <v>5</v>
      </c>
      <c r="C1027" s="1">
        <v>15</v>
      </c>
      <c r="D1027" s="1">
        <v>3</v>
      </c>
      <c r="E1027" s="1">
        <v>26</v>
      </c>
      <c r="F1027" s="90">
        <v>8.6666666666666696</v>
      </c>
    </row>
    <row r="1028" spans="1:6" x14ac:dyDescent="0.3">
      <c r="A1028" s="1" t="s">
        <v>107</v>
      </c>
      <c r="B1028" s="1" t="s">
        <v>5</v>
      </c>
      <c r="C1028" s="1">
        <v>16</v>
      </c>
      <c r="D1028" s="1">
        <v>1</v>
      </c>
      <c r="E1028" s="1">
        <v>12</v>
      </c>
      <c r="F1028" s="90">
        <v>12</v>
      </c>
    </row>
    <row r="1029" spans="1:6" x14ac:dyDescent="0.3">
      <c r="A1029" s="1" t="s">
        <v>108</v>
      </c>
      <c r="B1029" s="1" t="s">
        <v>184</v>
      </c>
      <c r="C1029" s="1">
        <v>0</v>
      </c>
      <c r="D1029" s="1">
        <v>3</v>
      </c>
      <c r="E1029" s="1">
        <v>0</v>
      </c>
      <c r="F1029" s="90">
        <v>0</v>
      </c>
    </row>
    <row r="1030" spans="1:6" x14ac:dyDescent="0.3">
      <c r="A1030" s="1" t="s">
        <v>108</v>
      </c>
      <c r="B1030" s="1" t="s">
        <v>184</v>
      </c>
      <c r="C1030" s="1">
        <v>21</v>
      </c>
      <c r="D1030" s="1">
        <v>3</v>
      </c>
      <c r="E1030" s="1">
        <v>12</v>
      </c>
      <c r="F1030" s="90">
        <v>4</v>
      </c>
    </row>
    <row r="1031" spans="1:6" x14ac:dyDescent="0.3">
      <c r="A1031" s="1" t="s">
        <v>108</v>
      </c>
      <c r="B1031" s="1" t="s">
        <v>184</v>
      </c>
      <c r="C1031" s="1">
        <v>22</v>
      </c>
      <c r="D1031" s="1">
        <v>11</v>
      </c>
      <c r="E1031" s="1">
        <v>44</v>
      </c>
      <c r="F1031" s="90">
        <v>4</v>
      </c>
    </row>
    <row r="1032" spans="1:6" x14ac:dyDescent="0.3">
      <c r="A1032" s="1" t="s">
        <v>108</v>
      </c>
      <c r="B1032" s="1" t="s">
        <v>183</v>
      </c>
      <c r="C1032" s="1">
        <v>31</v>
      </c>
      <c r="D1032" s="1">
        <v>8</v>
      </c>
      <c r="E1032" s="1">
        <v>64</v>
      </c>
      <c r="F1032" s="90">
        <v>8</v>
      </c>
    </row>
    <row r="1033" spans="1:6" x14ac:dyDescent="0.3">
      <c r="A1033" s="1" t="s">
        <v>108</v>
      </c>
      <c r="B1033" s="1" t="s">
        <v>183</v>
      </c>
      <c r="C1033" s="1">
        <v>32</v>
      </c>
      <c r="D1033" s="1">
        <v>18</v>
      </c>
      <c r="E1033" s="1">
        <v>180</v>
      </c>
      <c r="F1033" s="90">
        <v>10</v>
      </c>
    </row>
    <row r="1034" spans="1:6" x14ac:dyDescent="0.3">
      <c r="A1034" s="1" t="s">
        <v>108</v>
      </c>
      <c r="B1034" s="1" t="s">
        <v>5</v>
      </c>
      <c r="C1034" s="1">
        <v>0</v>
      </c>
      <c r="D1034" s="1">
        <v>34</v>
      </c>
      <c r="E1034" s="1">
        <v>0</v>
      </c>
      <c r="F1034" s="90">
        <v>0</v>
      </c>
    </row>
    <row r="1035" spans="1:6" x14ac:dyDescent="0.3">
      <c r="A1035" s="1" t="s">
        <v>108</v>
      </c>
      <c r="B1035" s="1" t="s">
        <v>5</v>
      </c>
      <c r="C1035" s="1">
        <v>11</v>
      </c>
      <c r="D1035" s="1">
        <v>41</v>
      </c>
      <c r="E1035" s="1">
        <v>328</v>
      </c>
      <c r="F1035" s="90">
        <v>8</v>
      </c>
    </row>
    <row r="1036" spans="1:6" x14ac:dyDescent="0.3">
      <c r="A1036" s="1" t="s">
        <v>108</v>
      </c>
      <c r="B1036" s="1" t="s">
        <v>5</v>
      </c>
      <c r="C1036" s="1">
        <v>12</v>
      </c>
      <c r="D1036" s="1">
        <v>10</v>
      </c>
      <c r="E1036" s="1">
        <v>100</v>
      </c>
      <c r="F1036" s="90">
        <v>10</v>
      </c>
    </row>
    <row r="1037" spans="1:6" x14ac:dyDescent="0.3">
      <c r="A1037" s="1" t="s">
        <v>108</v>
      </c>
      <c r="B1037" s="1" t="s">
        <v>5</v>
      </c>
      <c r="C1037" s="1">
        <v>15</v>
      </c>
      <c r="D1037" s="1">
        <v>1</v>
      </c>
      <c r="E1037" s="1">
        <v>2</v>
      </c>
      <c r="F1037" s="90">
        <v>2</v>
      </c>
    </row>
    <row r="1038" spans="1:6" x14ac:dyDescent="0.3">
      <c r="A1038" s="1" t="s">
        <v>108</v>
      </c>
      <c r="B1038" s="1" t="s">
        <v>5</v>
      </c>
      <c r="C1038" s="1">
        <v>16</v>
      </c>
      <c r="D1038" s="1">
        <v>24</v>
      </c>
      <c r="E1038" s="1">
        <v>192</v>
      </c>
      <c r="F1038" s="90">
        <v>8</v>
      </c>
    </row>
    <row r="1039" spans="1:6" x14ac:dyDescent="0.3">
      <c r="A1039" s="1" t="s">
        <v>109</v>
      </c>
      <c r="B1039" s="1" t="s">
        <v>183</v>
      </c>
      <c r="C1039" s="1">
        <v>0</v>
      </c>
      <c r="D1039" s="1">
        <v>1</v>
      </c>
      <c r="E1039" s="1">
        <v>0</v>
      </c>
      <c r="F1039" s="90">
        <v>0</v>
      </c>
    </row>
    <row r="1040" spans="1:6" x14ac:dyDescent="0.3">
      <c r="A1040" s="1" t="s">
        <v>109</v>
      </c>
      <c r="B1040" s="1" t="s">
        <v>183</v>
      </c>
      <c r="C1040" s="1">
        <v>31</v>
      </c>
      <c r="D1040" s="1">
        <v>4</v>
      </c>
      <c r="E1040" s="1">
        <v>32</v>
      </c>
      <c r="F1040" s="90">
        <v>8</v>
      </c>
    </row>
    <row r="1041" spans="1:6" x14ac:dyDescent="0.3">
      <c r="A1041" s="1" t="s">
        <v>109</v>
      </c>
      <c r="B1041" s="1" t="s">
        <v>183</v>
      </c>
      <c r="C1041" s="1">
        <v>35</v>
      </c>
      <c r="D1041" s="1">
        <v>1</v>
      </c>
      <c r="E1041" s="1">
        <v>6</v>
      </c>
      <c r="F1041" s="90">
        <v>6</v>
      </c>
    </row>
    <row r="1042" spans="1:6" x14ac:dyDescent="0.3">
      <c r="A1042" s="1" t="s">
        <v>109</v>
      </c>
      <c r="B1042" s="1" t="s">
        <v>5</v>
      </c>
      <c r="C1042" s="1">
        <v>0</v>
      </c>
      <c r="D1042" s="1">
        <v>4</v>
      </c>
      <c r="E1042" s="1">
        <v>0</v>
      </c>
      <c r="F1042" s="90">
        <v>0</v>
      </c>
    </row>
    <row r="1043" spans="1:6" x14ac:dyDescent="0.3">
      <c r="A1043" s="1" t="s">
        <v>109</v>
      </c>
      <c r="B1043" s="1" t="s">
        <v>5</v>
      </c>
      <c r="C1043" s="1">
        <v>11</v>
      </c>
      <c r="D1043" s="1">
        <v>17</v>
      </c>
      <c r="E1043" s="1">
        <v>85</v>
      </c>
      <c r="F1043" s="90">
        <v>5</v>
      </c>
    </row>
    <row r="1044" spans="1:6" x14ac:dyDescent="0.3">
      <c r="A1044" s="1" t="s">
        <v>109</v>
      </c>
      <c r="B1044" s="1" t="s">
        <v>5</v>
      </c>
      <c r="C1044" s="1">
        <v>12</v>
      </c>
      <c r="D1044" s="1">
        <v>9</v>
      </c>
      <c r="E1044" s="1">
        <v>54</v>
      </c>
      <c r="F1044" s="90">
        <v>6</v>
      </c>
    </row>
    <row r="1045" spans="1:6" x14ac:dyDescent="0.3">
      <c r="A1045" s="1" t="s">
        <v>109</v>
      </c>
      <c r="B1045" s="1" t="s">
        <v>5</v>
      </c>
      <c r="C1045" s="1">
        <v>16</v>
      </c>
      <c r="D1045" s="1">
        <v>1</v>
      </c>
      <c r="E1045" s="1">
        <v>10</v>
      </c>
      <c r="F1045" s="90">
        <v>10</v>
      </c>
    </row>
    <row r="1046" spans="1:6" x14ac:dyDescent="0.3">
      <c r="A1046" s="1" t="s">
        <v>110</v>
      </c>
      <c r="B1046" s="1" t="s">
        <v>184</v>
      </c>
      <c r="C1046" s="1">
        <v>22</v>
      </c>
      <c r="D1046" s="1">
        <v>1</v>
      </c>
      <c r="E1046" s="1">
        <v>4</v>
      </c>
      <c r="F1046" s="90">
        <v>4</v>
      </c>
    </row>
    <row r="1047" spans="1:6" x14ac:dyDescent="0.3">
      <c r="A1047" s="1" t="s">
        <v>110</v>
      </c>
      <c r="B1047" s="1" t="s">
        <v>5</v>
      </c>
      <c r="C1047" s="1">
        <v>0</v>
      </c>
      <c r="D1047" s="1">
        <v>15</v>
      </c>
      <c r="E1047" s="1">
        <v>0</v>
      </c>
      <c r="F1047" s="90">
        <v>0</v>
      </c>
    </row>
    <row r="1048" spans="1:6" x14ac:dyDescent="0.3">
      <c r="A1048" s="1" t="s">
        <v>110</v>
      </c>
      <c r="B1048" s="1" t="s">
        <v>5</v>
      </c>
      <c r="C1048" s="1">
        <v>11</v>
      </c>
      <c r="D1048" s="1">
        <v>53</v>
      </c>
      <c r="E1048" s="1">
        <v>371</v>
      </c>
      <c r="F1048" s="90">
        <v>7</v>
      </c>
    </row>
    <row r="1049" spans="1:6" x14ac:dyDescent="0.3">
      <c r="A1049" s="1" t="s">
        <v>110</v>
      </c>
      <c r="B1049" s="1" t="s">
        <v>5</v>
      </c>
      <c r="C1049" s="1">
        <v>12</v>
      </c>
      <c r="D1049" s="1">
        <v>305</v>
      </c>
      <c r="E1049" s="1">
        <v>3355</v>
      </c>
      <c r="F1049" s="90">
        <v>11</v>
      </c>
    </row>
    <row r="1050" spans="1:6" x14ac:dyDescent="0.3">
      <c r="A1050" s="1" t="s">
        <v>110</v>
      </c>
      <c r="B1050" s="1" t="s">
        <v>5</v>
      </c>
      <c r="C1050" s="1">
        <v>14</v>
      </c>
      <c r="D1050" s="1">
        <v>1</v>
      </c>
      <c r="E1050" s="1">
        <v>8</v>
      </c>
      <c r="F1050" s="90">
        <v>8</v>
      </c>
    </row>
    <row r="1051" spans="1:6" x14ac:dyDescent="0.3">
      <c r="A1051" s="1" t="s">
        <v>111</v>
      </c>
      <c r="B1051" s="1" t="s">
        <v>184</v>
      </c>
      <c r="C1051" s="1">
        <v>21</v>
      </c>
      <c r="D1051" s="1">
        <v>4</v>
      </c>
      <c r="E1051" s="1">
        <v>16</v>
      </c>
      <c r="F1051" s="90">
        <v>4</v>
      </c>
    </row>
    <row r="1052" spans="1:6" x14ac:dyDescent="0.3">
      <c r="A1052" s="1" t="s">
        <v>111</v>
      </c>
      <c r="B1052" s="1" t="s">
        <v>184</v>
      </c>
      <c r="C1052" s="1">
        <v>22</v>
      </c>
      <c r="D1052" s="1">
        <v>4</v>
      </c>
      <c r="E1052" s="1">
        <v>16</v>
      </c>
      <c r="F1052" s="90">
        <v>4</v>
      </c>
    </row>
    <row r="1053" spans="1:6" x14ac:dyDescent="0.3">
      <c r="A1053" s="1" t="s">
        <v>111</v>
      </c>
      <c r="B1053" s="1" t="s">
        <v>184</v>
      </c>
      <c r="C1053" s="1">
        <v>26</v>
      </c>
      <c r="D1053" s="1">
        <v>1</v>
      </c>
      <c r="E1053" s="1">
        <v>5</v>
      </c>
      <c r="F1053" s="90">
        <v>5</v>
      </c>
    </row>
    <row r="1054" spans="1:6" x14ac:dyDescent="0.3">
      <c r="A1054" s="1" t="s">
        <v>111</v>
      </c>
      <c r="B1054" s="1" t="s">
        <v>183</v>
      </c>
      <c r="C1054" s="1">
        <v>35</v>
      </c>
      <c r="D1054" s="1">
        <v>1</v>
      </c>
      <c r="E1054" s="1">
        <v>5</v>
      </c>
      <c r="F1054" s="90">
        <v>5</v>
      </c>
    </row>
    <row r="1055" spans="1:6" x14ac:dyDescent="0.3">
      <c r="A1055" s="1" t="s">
        <v>111</v>
      </c>
      <c r="B1055" s="1" t="s">
        <v>5</v>
      </c>
      <c r="C1055" s="1">
        <v>0</v>
      </c>
      <c r="D1055" s="1">
        <v>16</v>
      </c>
      <c r="E1055" s="1">
        <v>0</v>
      </c>
      <c r="F1055" s="90">
        <v>0</v>
      </c>
    </row>
    <row r="1056" spans="1:6" x14ac:dyDescent="0.3">
      <c r="A1056" s="1" t="s">
        <v>111</v>
      </c>
      <c r="B1056" s="1" t="s">
        <v>5</v>
      </c>
      <c r="C1056" s="1">
        <v>11</v>
      </c>
      <c r="D1056" s="1">
        <v>88</v>
      </c>
      <c r="E1056" s="1">
        <v>176</v>
      </c>
      <c r="F1056" s="90">
        <v>2</v>
      </c>
    </row>
    <row r="1057" spans="1:6" x14ac:dyDescent="0.3">
      <c r="A1057" s="1" t="s">
        <v>111</v>
      </c>
      <c r="B1057" s="1" t="s">
        <v>5</v>
      </c>
      <c r="C1057" s="1">
        <v>12</v>
      </c>
      <c r="D1057" s="1">
        <v>383</v>
      </c>
      <c r="E1057" s="1">
        <v>1915</v>
      </c>
      <c r="F1057" s="90">
        <v>5</v>
      </c>
    </row>
    <row r="1058" spans="1:6" x14ac:dyDescent="0.3">
      <c r="A1058" s="1" t="s">
        <v>111</v>
      </c>
      <c r="B1058" s="1" t="s">
        <v>5</v>
      </c>
      <c r="C1058" s="1">
        <v>14</v>
      </c>
      <c r="D1058" s="1">
        <v>2</v>
      </c>
      <c r="E1058" s="1">
        <v>11</v>
      </c>
      <c r="F1058" s="90">
        <v>5.5</v>
      </c>
    </row>
    <row r="1059" spans="1:6" x14ac:dyDescent="0.3">
      <c r="A1059" s="1" t="s">
        <v>111</v>
      </c>
      <c r="B1059" s="1" t="s">
        <v>5</v>
      </c>
      <c r="C1059" s="1">
        <v>15</v>
      </c>
      <c r="D1059" s="1">
        <v>1</v>
      </c>
      <c r="E1059" s="1">
        <v>2</v>
      </c>
      <c r="F1059" s="90">
        <v>2</v>
      </c>
    </row>
    <row r="1060" spans="1:6" x14ac:dyDescent="0.3">
      <c r="A1060" s="1" t="s">
        <v>112</v>
      </c>
      <c r="B1060" s="1" t="s">
        <v>183</v>
      </c>
      <c r="C1060" s="1">
        <v>31</v>
      </c>
      <c r="D1060" s="1">
        <v>1</v>
      </c>
      <c r="E1060" s="1">
        <v>8</v>
      </c>
      <c r="F1060" s="90">
        <v>8</v>
      </c>
    </row>
    <row r="1061" spans="1:6" x14ac:dyDescent="0.3">
      <c r="A1061" s="1" t="s">
        <v>112</v>
      </c>
      <c r="B1061" s="1" t="s">
        <v>5</v>
      </c>
      <c r="C1061" s="1">
        <v>0</v>
      </c>
      <c r="D1061" s="1">
        <v>4</v>
      </c>
      <c r="E1061" s="1">
        <v>0</v>
      </c>
      <c r="F1061" s="90">
        <v>0</v>
      </c>
    </row>
    <row r="1062" spans="1:6" x14ac:dyDescent="0.3">
      <c r="A1062" s="1" t="s">
        <v>112</v>
      </c>
      <c r="B1062" s="1" t="s">
        <v>5</v>
      </c>
      <c r="C1062" s="1">
        <v>11</v>
      </c>
      <c r="D1062" s="1">
        <v>19</v>
      </c>
      <c r="E1062" s="1">
        <v>152</v>
      </c>
      <c r="F1062" s="90">
        <v>8</v>
      </c>
    </row>
    <row r="1063" spans="1:6" x14ac:dyDescent="0.3">
      <c r="A1063" s="1" t="s">
        <v>112</v>
      </c>
      <c r="B1063" s="1" t="s">
        <v>5</v>
      </c>
      <c r="C1063" s="1">
        <v>12</v>
      </c>
      <c r="D1063" s="1">
        <v>26</v>
      </c>
      <c r="E1063" s="1">
        <v>260</v>
      </c>
      <c r="F1063" s="90">
        <v>10</v>
      </c>
    </row>
    <row r="1064" spans="1:6" x14ac:dyDescent="0.3">
      <c r="A1064" s="1" t="s">
        <v>113</v>
      </c>
      <c r="B1064" s="1" t="s">
        <v>183</v>
      </c>
      <c r="C1064" s="1">
        <v>31</v>
      </c>
      <c r="D1064" s="1">
        <v>1</v>
      </c>
      <c r="E1064" s="1">
        <v>8</v>
      </c>
      <c r="F1064" s="90">
        <v>8</v>
      </c>
    </row>
    <row r="1065" spans="1:6" x14ac:dyDescent="0.3">
      <c r="A1065" s="1" t="s">
        <v>113</v>
      </c>
      <c r="B1065" s="1" t="s">
        <v>183</v>
      </c>
      <c r="C1065" s="1">
        <v>32</v>
      </c>
      <c r="D1065" s="1">
        <v>1</v>
      </c>
      <c r="E1065" s="1">
        <v>10</v>
      </c>
      <c r="F1065" s="90">
        <v>10</v>
      </c>
    </row>
    <row r="1066" spans="1:6" x14ac:dyDescent="0.3">
      <c r="A1066" s="1" t="s">
        <v>113</v>
      </c>
      <c r="B1066" s="1" t="s">
        <v>5</v>
      </c>
      <c r="C1066" s="1">
        <v>0</v>
      </c>
      <c r="D1066" s="1">
        <v>66</v>
      </c>
      <c r="E1066" s="1">
        <v>0</v>
      </c>
      <c r="F1066" s="90">
        <v>0</v>
      </c>
    </row>
    <row r="1067" spans="1:6" x14ac:dyDescent="0.3">
      <c r="A1067" s="1" t="s">
        <v>113</v>
      </c>
      <c r="B1067" s="1" t="s">
        <v>5</v>
      </c>
      <c r="C1067" s="1">
        <v>11</v>
      </c>
      <c r="D1067" s="1">
        <v>5</v>
      </c>
      <c r="E1067" s="1">
        <v>10</v>
      </c>
      <c r="F1067" s="90">
        <v>2</v>
      </c>
    </row>
    <row r="1068" spans="1:6" x14ac:dyDescent="0.3">
      <c r="A1068" s="1" t="s">
        <v>113</v>
      </c>
      <c r="B1068" s="1" t="s">
        <v>5</v>
      </c>
      <c r="C1068" s="1">
        <v>12</v>
      </c>
      <c r="D1068" s="1">
        <v>157</v>
      </c>
      <c r="E1068" s="1">
        <v>785</v>
      </c>
      <c r="F1068" s="90">
        <v>5</v>
      </c>
    </row>
    <row r="1069" spans="1:6" x14ac:dyDescent="0.3">
      <c r="A1069" s="1" t="s">
        <v>113</v>
      </c>
      <c r="B1069" s="1" t="s">
        <v>5</v>
      </c>
      <c r="C1069" s="1">
        <v>16</v>
      </c>
      <c r="D1069" s="1">
        <v>2</v>
      </c>
      <c r="E1069" s="1">
        <v>18</v>
      </c>
      <c r="F1069" s="90">
        <v>9</v>
      </c>
    </row>
    <row r="1070" spans="1:6" x14ac:dyDescent="0.3">
      <c r="A1070" s="1" t="s">
        <v>114</v>
      </c>
      <c r="B1070" s="1" t="s">
        <v>5</v>
      </c>
      <c r="C1070" s="1">
        <v>0</v>
      </c>
      <c r="D1070" s="1">
        <v>1</v>
      </c>
      <c r="E1070" s="1">
        <v>0</v>
      </c>
      <c r="F1070" s="90">
        <v>0</v>
      </c>
    </row>
    <row r="1071" spans="1:6" x14ac:dyDescent="0.3">
      <c r="A1071" s="1" t="s">
        <v>114</v>
      </c>
      <c r="B1071" s="1" t="s">
        <v>5</v>
      </c>
      <c r="C1071" s="1">
        <v>11</v>
      </c>
      <c r="D1071" s="1">
        <v>10</v>
      </c>
      <c r="E1071" s="1">
        <v>50</v>
      </c>
      <c r="F1071" s="90">
        <v>5</v>
      </c>
    </row>
    <row r="1072" spans="1:6" x14ac:dyDescent="0.3">
      <c r="A1072" s="1" t="s">
        <v>114</v>
      </c>
      <c r="B1072" s="1" t="s">
        <v>5</v>
      </c>
      <c r="C1072" s="1">
        <v>12</v>
      </c>
      <c r="D1072" s="1">
        <v>4</v>
      </c>
      <c r="E1072" s="1">
        <v>24</v>
      </c>
      <c r="F1072" s="90">
        <v>6</v>
      </c>
    </row>
    <row r="1073" spans="1:6" x14ac:dyDescent="0.3">
      <c r="A1073" s="1" t="s">
        <v>115</v>
      </c>
      <c r="B1073" s="1" t="s">
        <v>5</v>
      </c>
      <c r="C1073" s="1">
        <v>0</v>
      </c>
      <c r="D1073" s="1">
        <v>20</v>
      </c>
      <c r="E1073" s="1">
        <v>0</v>
      </c>
      <c r="F1073" s="90">
        <v>0</v>
      </c>
    </row>
    <row r="1074" spans="1:6" x14ac:dyDescent="0.3">
      <c r="A1074" s="1" t="s">
        <v>115</v>
      </c>
      <c r="B1074" s="1" t="s">
        <v>5</v>
      </c>
      <c r="C1074" s="1">
        <v>11</v>
      </c>
      <c r="D1074" s="1">
        <v>18</v>
      </c>
      <c r="E1074" s="1">
        <v>36</v>
      </c>
      <c r="F1074" s="90">
        <v>2</v>
      </c>
    </row>
    <row r="1075" spans="1:6" x14ac:dyDescent="0.3">
      <c r="A1075" s="1" t="s">
        <v>115</v>
      </c>
      <c r="B1075" s="1" t="s">
        <v>5</v>
      </c>
      <c r="C1075" s="1">
        <v>12</v>
      </c>
      <c r="D1075" s="1">
        <v>83</v>
      </c>
      <c r="E1075" s="1">
        <v>332</v>
      </c>
      <c r="F1075" s="90">
        <v>4</v>
      </c>
    </row>
    <row r="1076" spans="1:6" x14ac:dyDescent="0.3">
      <c r="A1076" s="1" t="s">
        <v>115</v>
      </c>
      <c r="B1076" s="1" t="s">
        <v>5</v>
      </c>
      <c r="C1076" s="1">
        <v>16</v>
      </c>
      <c r="D1076" s="1">
        <v>1</v>
      </c>
      <c r="E1076" s="1">
        <v>6</v>
      </c>
      <c r="F1076" s="90">
        <v>6</v>
      </c>
    </row>
    <row r="1077" spans="1:6" x14ac:dyDescent="0.3">
      <c r="A1077" s="1" t="s">
        <v>116</v>
      </c>
      <c r="B1077" s="1" t="s">
        <v>184</v>
      </c>
      <c r="C1077" s="1">
        <v>21</v>
      </c>
      <c r="D1077" s="1">
        <v>1</v>
      </c>
      <c r="E1077" s="1">
        <v>4</v>
      </c>
      <c r="F1077" s="90">
        <v>4</v>
      </c>
    </row>
    <row r="1078" spans="1:6" x14ac:dyDescent="0.3">
      <c r="A1078" s="1" t="s">
        <v>116</v>
      </c>
      <c r="B1078" s="1" t="s">
        <v>184</v>
      </c>
      <c r="C1078" s="1">
        <v>22</v>
      </c>
      <c r="D1078" s="1">
        <v>4</v>
      </c>
      <c r="E1078" s="1">
        <v>16</v>
      </c>
      <c r="F1078" s="90">
        <v>4</v>
      </c>
    </row>
    <row r="1079" spans="1:6" x14ac:dyDescent="0.3">
      <c r="A1079" s="1" t="s">
        <v>116</v>
      </c>
      <c r="B1079" s="1" t="s">
        <v>183</v>
      </c>
      <c r="C1079" s="1">
        <v>0</v>
      </c>
      <c r="D1079" s="1">
        <v>1</v>
      </c>
      <c r="E1079" s="1">
        <v>0</v>
      </c>
      <c r="F1079" s="90">
        <v>0</v>
      </c>
    </row>
    <row r="1080" spans="1:6" x14ac:dyDescent="0.3">
      <c r="A1080" s="1" t="s">
        <v>116</v>
      </c>
      <c r="B1080" s="1" t="s">
        <v>183</v>
      </c>
      <c r="C1080" s="1">
        <v>31</v>
      </c>
      <c r="D1080" s="1">
        <v>2</v>
      </c>
      <c r="E1080" s="1">
        <v>16</v>
      </c>
      <c r="F1080" s="90">
        <v>8</v>
      </c>
    </row>
    <row r="1081" spans="1:6" x14ac:dyDescent="0.3">
      <c r="A1081" s="1" t="s">
        <v>116</v>
      </c>
      <c r="B1081" s="1" t="s">
        <v>183</v>
      </c>
      <c r="C1081" s="1">
        <v>32</v>
      </c>
      <c r="D1081" s="1">
        <v>1</v>
      </c>
      <c r="E1081" s="1">
        <v>10</v>
      </c>
      <c r="F1081" s="90">
        <v>10</v>
      </c>
    </row>
    <row r="1082" spans="1:6" x14ac:dyDescent="0.3">
      <c r="A1082" s="1" t="s">
        <v>116</v>
      </c>
      <c r="B1082" s="1" t="s">
        <v>5</v>
      </c>
      <c r="C1082" s="1">
        <v>0</v>
      </c>
      <c r="D1082" s="1">
        <v>1</v>
      </c>
      <c r="E1082" s="1">
        <v>0</v>
      </c>
      <c r="F1082" s="90">
        <v>0</v>
      </c>
    </row>
    <row r="1083" spans="1:6" x14ac:dyDescent="0.3">
      <c r="A1083" s="1" t="s">
        <v>116</v>
      </c>
      <c r="B1083" s="1" t="s">
        <v>5</v>
      </c>
      <c r="C1083" s="1">
        <v>11</v>
      </c>
      <c r="D1083" s="1">
        <v>3</v>
      </c>
      <c r="E1083" s="1">
        <v>21</v>
      </c>
      <c r="F1083" s="90">
        <v>7</v>
      </c>
    </row>
    <row r="1084" spans="1:6" x14ac:dyDescent="0.3">
      <c r="A1084" s="1" t="s">
        <v>116</v>
      </c>
      <c r="B1084" s="1" t="s">
        <v>5</v>
      </c>
      <c r="C1084" s="1">
        <v>12</v>
      </c>
      <c r="D1084" s="1">
        <v>4</v>
      </c>
      <c r="E1084" s="1">
        <v>28</v>
      </c>
      <c r="F1084" s="90">
        <v>7</v>
      </c>
    </row>
    <row r="1085" spans="1:6" x14ac:dyDescent="0.3">
      <c r="A1085" s="1" t="s">
        <v>116</v>
      </c>
      <c r="B1085" s="1" t="s">
        <v>5</v>
      </c>
      <c r="C1085" s="1">
        <v>16</v>
      </c>
      <c r="D1085" s="1">
        <v>2</v>
      </c>
      <c r="E1085" s="1">
        <v>16</v>
      </c>
      <c r="F1085" s="90">
        <v>8</v>
      </c>
    </row>
    <row r="1086" spans="1:6" x14ac:dyDescent="0.3">
      <c r="A1086" s="1" t="s">
        <v>117</v>
      </c>
      <c r="B1086" s="1" t="s">
        <v>183</v>
      </c>
      <c r="C1086" s="1">
        <v>31</v>
      </c>
      <c r="D1086" s="1">
        <v>1</v>
      </c>
      <c r="E1086" s="1">
        <v>8</v>
      </c>
      <c r="F1086" s="90">
        <v>8</v>
      </c>
    </row>
    <row r="1087" spans="1:6" x14ac:dyDescent="0.3">
      <c r="A1087" s="1" t="s">
        <v>117</v>
      </c>
      <c r="B1087" s="1" t="s">
        <v>183</v>
      </c>
      <c r="C1087" s="1">
        <v>32</v>
      </c>
      <c r="D1087" s="1">
        <v>1</v>
      </c>
      <c r="E1087" s="1">
        <v>10</v>
      </c>
      <c r="F1087" s="90">
        <v>10</v>
      </c>
    </row>
    <row r="1088" spans="1:6" x14ac:dyDescent="0.3">
      <c r="A1088" s="1" t="s">
        <v>117</v>
      </c>
      <c r="B1088" s="1" t="s">
        <v>183</v>
      </c>
      <c r="C1088" s="1">
        <v>35</v>
      </c>
      <c r="D1088" s="1">
        <v>1</v>
      </c>
      <c r="E1088" s="1">
        <v>8</v>
      </c>
      <c r="F1088" s="90">
        <v>8</v>
      </c>
    </row>
    <row r="1089" spans="1:6" x14ac:dyDescent="0.3">
      <c r="A1089" s="1" t="s">
        <v>117</v>
      </c>
      <c r="B1089" s="1" t="s">
        <v>5</v>
      </c>
      <c r="C1089" s="1">
        <v>0</v>
      </c>
      <c r="D1089" s="1">
        <v>4</v>
      </c>
      <c r="E1089" s="1">
        <v>0</v>
      </c>
      <c r="F1089" s="90">
        <v>0</v>
      </c>
    </row>
    <row r="1090" spans="1:6" x14ac:dyDescent="0.3">
      <c r="A1090" s="1" t="s">
        <v>117</v>
      </c>
      <c r="B1090" s="1" t="s">
        <v>5</v>
      </c>
      <c r="C1090" s="1">
        <v>11</v>
      </c>
      <c r="D1090" s="1">
        <v>2</v>
      </c>
      <c r="E1090" s="1">
        <v>16</v>
      </c>
      <c r="F1090" s="90">
        <v>8</v>
      </c>
    </row>
    <row r="1091" spans="1:6" x14ac:dyDescent="0.3">
      <c r="A1091" s="1" t="s">
        <v>117</v>
      </c>
      <c r="B1091" s="1" t="s">
        <v>5</v>
      </c>
      <c r="C1091" s="1">
        <v>12</v>
      </c>
      <c r="D1091" s="1">
        <v>5</v>
      </c>
      <c r="E1091" s="1">
        <v>40</v>
      </c>
      <c r="F1091" s="90">
        <v>8</v>
      </c>
    </row>
    <row r="1092" spans="1:6" x14ac:dyDescent="0.3">
      <c r="A1092" s="1" t="s">
        <v>118</v>
      </c>
      <c r="B1092" s="1" t="s">
        <v>183</v>
      </c>
      <c r="C1092" s="1">
        <v>32</v>
      </c>
      <c r="D1092" s="1">
        <v>1</v>
      </c>
      <c r="E1092" s="1">
        <v>10</v>
      </c>
      <c r="F1092" s="90">
        <v>10</v>
      </c>
    </row>
    <row r="1093" spans="1:6" x14ac:dyDescent="0.3">
      <c r="A1093" s="1" t="s">
        <v>118</v>
      </c>
      <c r="B1093" s="1" t="s">
        <v>5</v>
      </c>
      <c r="C1093" s="1">
        <v>0</v>
      </c>
      <c r="D1093" s="1">
        <v>1</v>
      </c>
      <c r="E1093" s="1">
        <v>0</v>
      </c>
      <c r="F1093" s="90">
        <v>0</v>
      </c>
    </row>
    <row r="1094" spans="1:6" x14ac:dyDescent="0.3">
      <c r="A1094" s="1" t="s">
        <v>118</v>
      </c>
      <c r="B1094" s="1" t="s">
        <v>5</v>
      </c>
      <c r="C1094" s="1">
        <v>12</v>
      </c>
      <c r="D1094" s="1">
        <v>1</v>
      </c>
      <c r="E1094" s="1">
        <v>5</v>
      </c>
      <c r="F1094" s="90">
        <v>5</v>
      </c>
    </row>
    <row r="1095" spans="1:6" x14ac:dyDescent="0.3">
      <c r="A1095" s="1" t="s">
        <v>119</v>
      </c>
      <c r="B1095" s="1" t="s">
        <v>5</v>
      </c>
      <c r="C1095" s="1">
        <v>11</v>
      </c>
      <c r="D1095" s="1">
        <v>3</v>
      </c>
      <c r="E1095" s="1">
        <v>21</v>
      </c>
      <c r="F1095" s="90">
        <v>7</v>
      </c>
    </row>
    <row r="1096" spans="1:6" x14ac:dyDescent="0.3">
      <c r="A1096" s="1" t="s">
        <v>119</v>
      </c>
      <c r="B1096" s="1" t="s">
        <v>5</v>
      </c>
      <c r="C1096" s="1">
        <v>12</v>
      </c>
      <c r="D1096" s="1">
        <v>2</v>
      </c>
      <c r="E1096" s="1">
        <v>14</v>
      </c>
      <c r="F1096" s="90">
        <v>7</v>
      </c>
    </row>
    <row r="1097" spans="1:6" x14ac:dyDescent="0.3">
      <c r="A1097" s="1" t="s">
        <v>120</v>
      </c>
      <c r="B1097" s="1" t="s">
        <v>184</v>
      </c>
      <c r="C1097" s="1">
        <v>21</v>
      </c>
      <c r="D1097" s="1">
        <v>1</v>
      </c>
      <c r="E1097" s="1">
        <v>4</v>
      </c>
      <c r="F1097" s="90">
        <v>4</v>
      </c>
    </row>
    <row r="1098" spans="1:6" x14ac:dyDescent="0.3">
      <c r="A1098" s="1" t="s">
        <v>120</v>
      </c>
      <c r="B1098" s="1" t="s">
        <v>183</v>
      </c>
      <c r="C1098" s="1">
        <v>31</v>
      </c>
      <c r="D1098" s="1">
        <v>1</v>
      </c>
      <c r="E1098" s="1">
        <v>8</v>
      </c>
      <c r="F1098" s="90">
        <v>8</v>
      </c>
    </row>
    <row r="1099" spans="1:6" x14ac:dyDescent="0.3">
      <c r="A1099" s="1" t="s">
        <v>120</v>
      </c>
      <c r="B1099" s="1" t="s">
        <v>5</v>
      </c>
      <c r="C1099" s="1">
        <v>0</v>
      </c>
      <c r="D1099" s="1">
        <v>1</v>
      </c>
      <c r="E1099" s="1">
        <v>0</v>
      </c>
      <c r="F1099" s="90">
        <v>0</v>
      </c>
    </row>
    <row r="1100" spans="1:6" x14ac:dyDescent="0.3">
      <c r="A1100" s="1" t="s">
        <v>120</v>
      </c>
      <c r="B1100" s="1" t="s">
        <v>5</v>
      </c>
      <c r="C1100" s="1">
        <v>11</v>
      </c>
      <c r="D1100" s="1">
        <v>9</v>
      </c>
      <c r="E1100" s="1">
        <v>18</v>
      </c>
      <c r="F1100" s="90">
        <v>2</v>
      </c>
    </row>
    <row r="1101" spans="1:6" x14ac:dyDescent="0.3">
      <c r="A1101" s="1" t="s">
        <v>120</v>
      </c>
      <c r="B1101" s="1" t="s">
        <v>5</v>
      </c>
      <c r="C1101" s="1">
        <v>12</v>
      </c>
      <c r="D1101" s="1">
        <v>11</v>
      </c>
      <c r="E1101" s="1">
        <v>44</v>
      </c>
      <c r="F1101" s="90">
        <v>4</v>
      </c>
    </row>
    <row r="1102" spans="1:6" x14ac:dyDescent="0.3">
      <c r="A1102" s="1" t="s">
        <v>120</v>
      </c>
      <c r="B1102" s="1" t="s">
        <v>5</v>
      </c>
      <c r="C1102" s="1">
        <v>16</v>
      </c>
      <c r="D1102" s="1">
        <v>1</v>
      </c>
      <c r="E1102" s="1">
        <v>8</v>
      </c>
      <c r="F1102" s="90">
        <v>8</v>
      </c>
    </row>
    <row r="1103" spans="1:6" x14ac:dyDescent="0.3">
      <c r="A1103" s="1" t="s">
        <v>121</v>
      </c>
      <c r="B1103" s="1" t="s">
        <v>5</v>
      </c>
      <c r="C1103" s="1">
        <v>11</v>
      </c>
      <c r="D1103" s="1">
        <v>3</v>
      </c>
      <c r="E1103" s="1">
        <v>24</v>
      </c>
      <c r="F1103" s="90">
        <v>8</v>
      </c>
    </row>
    <row r="1104" spans="1:6" x14ac:dyDescent="0.3">
      <c r="A1104" s="1" t="s">
        <v>121</v>
      </c>
      <c r="B1104" s="1" t="s">
        <v>5</v>
      </c>
      <c r="C1104" s="1">
        <v>12</v>
      </c>
      <c r="D1104" s="1">
        <v>2</v>
      </c>
      <c r="E1104" s="1">
        <v>16</v>
      </c>
      <c r="F1104" s="90">
        <v>8</v>
      </c>
    </row>
    <row r="1105" spans="1:6" x14ac:dyDescent="0.3">
      <c r="A1105" s="1" t="s">
        <v>122</v>
      </c>
      <c r="B1105" s="1" t="s">
        <v>183</v>
      </c>
      <c r="C1105" s="1">
        <v>0</v>
      </c>
      <c r="D1105" s="1">
        <v>1</v>
      </c>
      <c r="E1105" s="1">
        <v>0</v>
      </c>
      <c r="F1105" s="90">
        <v>0</v>
      </c>
    </row>
    <row r="1106" spans="1:6" x14ac:dyDescent="0.3">
      <c r="A1106" s="1" t="s">
        <v>122</v>
      </c>
      <c r="B1106" s="1" t="s">
        <v>5</v>
      </c>
      <c r="C1106" s="1">
        <v>0</v>
      </c>
      <c r="D1106" s="1">
        <v>7</v>
      </c>
      <c r="E1106" s="1">
        <v>0</v>
      </c>
      <c r="F1106" s="90">
        <v>0</v>
      </c>
    </row>
    <row r="1107" spans="1:6" x14ac:dyDescent="0.3">
      <c r="A1107" s="1" t="s">
        <v>122</v>
      </c>
      <c r="B1107" s="1" t="s">
        <v>5</v>
      </c>
      <c r="C1107" s="1">
        <v>11</v>
      </c>
      <c r="D1107" s="1">
        <v>3</v>
      </c>
      <c r="E1107" s="1">
        <v>6</v>
      </c>
      <c r="F1107" s="90">
        <v>2</v>
      </c>
    </row>
    <row r="1108" spans="1:6" x14ac:dyDescent="0.3">
      <c r="A1108" s="1" t="s">
        <v>122</v>
      </c>
      <c r="B1108" s="1" t="s">
        <v>5</v>
      </c>
      <c r="C1108" s="1">
        <v>12</v>
      </c>
      <c r="D1108" s="1">
        <v>5</v>
      </c>
      <c r="E1108" s="1">
        <v>25</v>
      </c>
      <c r="F1108" s="90">
        <v>5</v>
      </c>
    </row>
    <row r="1109" spans="1:6" x14ac:dyDescent="0.3">
      <c r="A1109" s="1" t="s">
        <v>123</v>
      </c>
      <c r="B1109" s="1" t="s">
        <v>5</v>
      </c>
      <c r="C1109" s="1">
        <v>11</v>
      </c>
      <c r="D1109" s="1">
        <v>2</v>
      </c>
      <c r="E1109" s="1">
        <v>4</v>
      </c>
      <c r="F1109" s="90">
        <v>2</v>
      </c>
    </row>
    <row r="1110" spans="1:6" x14ac:dyDescent="0.3">
      <c r="A1110" s="1" t="s">
        <v>123</v>
      </c>
      <c r="B1110" s="1" t="s">
        <v>5</v>
      </c>
      <c r="C1110" s="1">
        <v>12</v>
      </c>
      <c r="D1110" s="1">
        <v>1</v>
      </c>
      <c r="E1110" s="1">
        <v>2</v>
      </c>
      <c r="F1110" s="90">
        <v>2</v>
      </c>
    </row>
    <row r="1111" spans="1:6" x14ac:dyDescent="0.3">
      <c r="A1111" s="1" t="s">
        <v>124</v>
      </c>
      <c r="B1111" s="1" t="s">
        <v>184</v>
      </c>
      <c r="C1111" s="1">
        <v>0</v>
      </c>
      <c r="D1111" s="1">
        <v>5</v>
      </c>
      <c r="E1111" s="1">
        <v>0</v>
      </c>
      <c r="F1111" s="90">
        <v>0</v>
      </c>
    </row>
    <row r="1112" spans="1:6" x14ac:dyDescent="0.3">
      <c r="A1112" s="1" t="s">
        <v>124</v>
      </c>
      <c r="B1112" s="1" t="s">
        <v>184</v>
      </c>
      <c r="C1112" s="1">
        <v>21</v>
      </c>
      <c r="D1112" s="1">
        <v>11</v>
      </c>
      <c r="E1112" s="1">
        <v>44</v>
      </c>
      <c r="F1112" s="90">
        <v>4</v>
      </c>
    </row>
    <row r="1113" spans="1:6" x14ac:dyDescent="0.3">
      <c r="A1113" s="1" t="s">
        <v>124</v>
      </c>
      <c r="B1113" s="1" t="s">
        <v>184</v>
      </c>
      <c r="C1113" s="1">
        <v>22</v>
      </c>
      <c r="D1113" s="1">
        <v>36</v>
      </c>
      <c r="E1113" s="1">
        <v>144</v>
      </c>
      <c r="F1113" s="90">
        <v>4</v>
      </c>
    </row>
    <row r="1114" spans="1:6" x14ac:dyDescent="0.3">
      <c r="A1114" s="1" t="s">
        <v>124</v>
      </c>
      <c r="B1114" s="1" t="s">
        <v>183</v>
      </c>
      <c r="C1114" s="1">
        <v>0</v>
      </c>
      <c r="D1114" s="1">
        <v>1</v>
      </c>
      <c r="E1114" s="1">
        <v>0</v>
      </c>
      <c r="F1114" s="90">
        <v>0</v>
      </c>
    </row>
    <row r="1115" spans="1:6" x14ac:dyDescent="0.3">
      <c r="A1115" s="1" t="s">
        <v>124</v>
      </c>
      <c r="B1115" s="1" t="s">
        <v>183</v>
      </c>
      <c r="C1115" s="1">
        <v>31</v>
      </c>
      <c r="D1115" s="1">
        <v>39</v>
      </c>
      <c r="E1115" s="1">
        <v>312</v>
      </c>
      <c r="F1115" s="90">
        <v>8</v>
      </c>
    </row>
    <row r="1116" spans="1:6" x14ac:dyDescent="0.3">
      <c r="A1116" s="1" t="s">
        <v>124</v>
      </c>
      <c r="B1116" s="1" t="s">
        <v>183</v>
      </c>
      <c r="C1116" s="1">
        <v>32</v>
      </c>
      <c r="D1116" s="1">
        <v>118</v>
      </c>
      <c r="E1116" s="1">
        <v>1180</v>
      </c>
      <c r="F1116" s="90">
        <v>10</v>
      </c>
    </row>
    <row r="1117" spans="1:6" x14ac:dyDescent="0.3">
      <c r="A1117" s="1" t="s">
        <v>124</v>
      </c>
      <c r="B1117" s="1" t="s">
        <v>159</v>
      </c>
      <c r="C1117" s="1">
        <v>42</v>
      </c>
      <c r="D1117" s="1">
        <v>52</v>
      </c>
      <c r="E1117" s="1">
        <v>104</v>
      </c>
      <c r="F1117" s="90">
        <v>2</v>
      </c>
    </row>
    <row r="1118" spans="1:6" x14ac:dyDescent="0.3">
      <c r="A1118" s="1" t="s">
        <v>124</v>
      </c>
      <c r="B1118" s="1" t="s">
        <v>5</v>
      </c>
      <c r="C1118" s="1">
        <v>0</v>
      </c>
      <c r="D1118" s="1">
        <v>14</v>
      </c>
      <c r="E1118" s="1">
        <v>0</v>
      </c>
      <c r="F1118" s="90">
        <v>0</v>
      </c>
    </row>
    <row r="1119" spans="1:6" x14ac:dyDescent="0.3">
      <c r="A1119" s="1" t="s">
        <v>124</v>
      </c>
      <c r="B1119" s="1" t="s">
        <v>5</v>
      </c>
      <c r="C1119" s="1">
        <v>11</v>
      </c>
      <c r="D1119" s="1">
        <v>99</v>
      </c>
      <c r="E1119" s="1">
        <v>792</v>
      </c>
      <c r="F1119" s="90">
        <v>8</v>
      </c>
    </row>
    <row r="1120" spans="1:6" x14ac:dyDescent="0.3">
      <c r="A1120" s="1" t="s">
        <v>124</v>
      </c>
      <c r="B1120" s="1" t="s">
        <v>5</v>
      </c>
      <c r="C1120" s="1">
        <v>12</v>
      </c>
      <c r="D1120" s="1">
        <v>654</v>
      </c>
      <c r="E1120" s="1">
        <v>7848</v>
      </c>
      <c r="F1120" s="90">
        <v>12</v>
      </c>
    </row>
    <row r="1121" spans="1:6" x14ac:dyDescent="0.3">
      <c r="A1121" s="1" t="s">
        <v>124</v>
      </c>
      <c r="B1121" s="1" t="s">
        <v>5</v>
      </c>
      <c r="C1121" s="1">
        <v>13</v>
      </c>
      <c r="D1121" s="1">
        <v>1</v>
      </c>
      <c r="E1121" s="1">
        <v>6.8</v>
      </c>
      <c r="F1121" s="90">
        <v>6.8</v>
      </c>
    </row>
    <row r="1122" spans="1:6" x14ac:dyDescent="0.3">
      <c r="A1122" s="1" t="s">
        <v>124</v>
      </c>
      <c r="B1122" s="1" t="s">
        <v>5</v>
      </c>
      <c r="C1122" s="1">
        <v>15</v>
      </c>
      <c r="D1122" s="1">
        <v>9</v>
      </c>
      <c r="E1122" s="1">
        <v>44</v>
      </c>
      <c r="F1122" s="90">
        <v>4.8888888888888902</v>
      </c>
    </row>
    <row r="1123" spans="1:6" x14ac:dyDescent="0.3">
      <c r="A1123" s="1" t="s">
        <v>125</v>
      </c>
      <c r="B1123" s="1" t="s">
        <v>184</v>
      </c>
      <c r="C1123" s="1">
        <v>0</v>
      </c>
      <c r="D1123" s="1">
        <v>2</v>
      </c>
      <c r="E1123" s="1">
        <v>0</v>
      </c>
      <c r="F1123" s="90">
        <v>0</v>
      </c>
    </row>
    <row r="1124" spans="1:6" x14ac:dyDescent="0.3">
      <c r="A1124" s="1" t="s">
        <v>125</v>
      </c>
      <c r="B1124" s="1" t="s">
        <v>184</v>
      </c>
      <c r="C1124" s="1">
        <v>21</v>
      </c>
      <c r="D1124" s="1">
        <v>13</v>
      </c>
      <c r="E1124" s="1">
        <v>52</v>
      </c>
      <c r="F1124" s="90">
        <v>4</v>
      </c>
    </row>
    <row r="1125" spans="1:6" x14ac:dyDescent="0.3">
      <c r="A1125" s="1" t="s">
        <v>125</v>
      </c>
      <c r="B1125" s="1" t="s">
        <v>184</v>
      </c>
      <c r="C1125" s="1">
        <v>22</v>
      </c>
      <c r="D1125" s="1">
        <v>80</v>
      </c>
      <c r="E1125" s="1">
        <v>320</v>
      </c>
      <c r="F1125" s="90">
        <v>4</v>
      </c>
    </row>
    <row r="1126" spans="1:6" x14ac:dyDescent="0.3">
      <c r="A1126" s="1" t="s">
        <v>125</v>
      </c>
      <c r="B1126" s="1" t="s">
        <v>184</v>
      </c>
      <c r="C1126" s="1">
        <v>24</v>
      </c>
      <c r="D1126" s="1">
        <v>1</v>
      </c>
      <c r="E1126" s="1">
        <v>10</v>
      </c>
      <c r="F1126" s="90">
        <v>10</v>
      </c>
    </row>
    <row r="1127" spans="1:6" x14ac:dyDescent="0.3">
      <c r="A1127" s="1" t="s">
        <v>125</v>
      </c>
      <c r="B1127" s="1" t="s">
        <v>184</v>
      </c>
      <c r="C1127" s="1">
        <v>26</v>
      </c>
      <c r="D1127" s="1">
        <v>2</v>
      </c>
      <c r="E1127" s="1">
        <v>22</v>
      </c>
      <c r="F1127" s="90">
        <v>11</v>
      </c>
    </row>
    <row r="1128" spans="1:6" x14ac:dyDescent="0.3">
      <c r="A1128" s="1" t="s">
        <v>125</v>
      </c>
      <c r="B1128" s="1" t="s">
        <v>183</v>
      </c>
      <c r="C1128" s="1">
        <v>0</v>
      </c>
      <c r="D1128" s="1">
        <v>1</v>
      </c>
      <c r="E1128" s="1">
        <v>0</v>
      </c>
      <c r="F1128" s="90">
        <v>0</v>
      </c>
    </row>
    <row r="1129" spans="1:6" x14ac:dyDescent="0.3">
      <c r="A1129" s="1" t="s">
        <v>125</v>
      </c>
      <c r="B1129" s="1" t="s">
        <v>183</v>
      </c>
      <c r="C1129" s="1">
        <v>31</v>
      </c>
      <c r="D1129" s="1">
        <v>19</v>
      </c>
      <c r="E1129" s="1">
        <v>152</v>
      </c>
      <c r="F1129" s="90">
        <v>8</v>
      </c>
    </row>
    <row r="1130" spans="1:6" x14ac:dyDescent="0.3">
      <c r="A1130" s="1" t="s">
        <v>125</v>
      </c>
      <c r="B1130" s="1" t="s">
        <v>183</v>
      </c>
      <c r="C1130" s="1">
        <v>32</v>
      </c>
      <c r="D1130" s="1">
        <v>28</v>
      </c>
      <c r="E1130" s="1">
        <v>280</v>
      </c>
      <c r="F1130" s="90">
        <v>10</v>
      </c>
    </row>
    <row r="1131" spans="1:6" x14ac:dyDescent="0.3">
      <c r="A1131" s="1" t="s">
        <v>125</v>
      </c>
      <c r="B1131" s="1" t="s">
        <v>183</v>
      </c>
      <c r="C1131" s="1">
        <v>34</v>
      </c>
      <c r="D1131" s="1">
        <v>6</v>
      </c>
      <c r="E1131" s="1">
        <v>60</v>
      </c>
      <c r="F1131" s="90">
        <v>10</v>
      </c>
    </row>
    <row r="1132" spans="1:6" x14ac:dyDescent="0.3">
      <c r="A1132" s="1" t="s">
        <v>125</v>
      </c>
      <c r="B1132" s="1" t="s">
        <v>183</v>
      </c>
      <c r="C1132" s="1">
        <v>35</v>
      </c>
      <c r="D1132" s="1">
        <v>27</v>
      </c>
      <c r="E1132" s="1">
        <v>243</v>
      </c>
      <c r="F1132" s="90">
        <v>9</v>
      </c>
    </row>
    <row r="1133" spans="1:6" x14ac:dyDescent="0.3">
      <c r="A1133" s="1" t="s">
        <v>125</v>
      </c>
      <c r="B1133" s="1" t="s">
        <v>159</v>
      </c>
      <c r="C1133" s="1">
        <v>42</v>
      </c>
      <c r="D1133" s="1">
        <v>568</v>
      </c>
      <c r="E1133" s="1">
        <v>1136</v>
      </c>
      <c r="F1133" s="90">
        <v>2</v>
      </c>
    </row>
    <row r="1134" spans="1:6" x14ac:dyDescent="0.3">
      <c r="A1134" s="1" t="s">
        <v>125</v>
      </c>
      <c r="B1134" s="1" t="s">
        <v>159</v>
      </c>
      <c r="C1134" s="1">
        <v>46</v>
      </c>
      <c r="D1134" s="1">
        <v>2</v>
      </c>
      <c r="E1134" s="1">
        <v>18</v>
      </c>
      <c r="F1134" s="90">
        <v>9</v>
      </c>
    </row>
    <row r="1135" spans="1:6" x14ac:dyDescent="0.3">
      <c r="A1135" s="1" t="s">
        <v>125</v>
      </c>
      <c r="B1135" s="1" t="s">
        <v>5</v>
      </c>
      <c r="C1135" s="1">
        <v>0</v>
      </c>
      <c r="D1135" s="1">
        <v>11</v>
      </c>
      <c r="E1135" s="1">
        <v>7</v>
      </c>
      <c r="F1135" s="90">
        <v>0.63636363636363602</v>
      </c>
    </row>
    <row r="1136" spans="1:6" x14ac:dyDescent="0.3">
      <c r="A1136" s="1" t="s">
        <v>125</v>
      </c>
      <c r="B1136" s="1" t="s">
        <v>5</v>
      </c>
      <c r="C1136" s="1">
        <v>11</v>
      </c>
      <c r="D1136" s="1">
        <v>12</v>
      </c>
      <c r="E1136" s="1">
        <v>96</v>
      </c>
      <c r="F1136" s="90">
        <v>8</v>
      </c>
    </row>
    <row r="1137" spans="1:6" x14ac:dyDescent="0.3">
      <c r="A1137" s="1" t="s">
        <v>125</v>
      </c>
      <c r="B1137" s="1" t="s">
        <v>5</v>
      </c>
      <c r="C1137" s="1">
        <v>12</v>
      </c>
      <c r="D1137" s="1">
        <v>505</v>
      </c>
      <c r="E1137" s="1">
        <v>4545</v>
      </c>
      <c r="F1137" s="90">
        <v>9</v>
      </c>
    </row>
    <row r="1138" spans="1:6" x14ac:dyDescent="0.3">
      <c r="A1138" s="1" t="s">
        <v>125</v>
      </c>
      <c r="B1138" s="1" t="s">
        <v>5</v>
      </c>
      <c r="C1138" s="1">
        <v>13</v>
      </c>
      <c r="D1138" s="1">
        <v>134</v>
      </c>
      <c r="E1138" s="1">
        <v>550</v>
      </c>
      <c r="F1138" s="90">
        <v>4.1044776119403004</v>
      </c>
    </row>
    <row r="1139" spans="1:6" x14ac:dyDescent="0.3">
      <c r="A1139" s="1" t="s">
        <v>125</v>
      </c>
      <c r="B1139" s="1" t="s">
        <v>5</v>
      </c>
      <c r="C1139" s="1">
        <v>14</v>
      </c>
      <c r="D1139" s="1">
        <v>444</v>
      </c>
      <c r="E1139" s="1">
        <v>4501</v>
      </c>
      <c r="F1139" s="90">
        <v>10.137387387387401</v>
      </c>
    </row>
    <row r="1140" spans="1:6" x14ac:dyDescent="0.3">
      <c r="A1140" s="1" t="s">
        <v>125</v>
      </c>
      <c r="B1140" s="1" t="s">
        <v>5</v>
      </c>
      <c r="C1140" s="1">
        <v>15</v>
      </c>
      <c r="D1140" s="1">
        <v>1440</v>
      </c>
      <c r="E1140" s="1">
        <v>5424</v>
      </c>
      <c r="F1140" s="90">
        <v>3.7666666666666702</v>
      </c>
    </row>
    <row r="1141" spans="1:6" x14ac:dyDescent="0.3">
      <c r="A1141" s="1" t="s">
        <v>125</v>
      </c>
      <c r="B1141" s="1" t="s">
        <v>5</v>
      </c>
      <c r="C1141" s="1">
        <v>16</v>
      </c>
      <c r="D1141" s="1">
        <v>2210</v>
      </c>
      <c r="E1141" s="1">
        <v>25881</v>
      </c>
      <c r="F1141" s="90">
        <v>11.710859728506801</v>
      </c>
    </row>
    <row r="1142" spans="1:6" x14ac:dyDescent="0.3">
      <c r="A1142" s="1" t="s">
        <v>126</v>
      </c>
      <c r="B1142" s="1" t="s">
        <v>5</v>
      </c>
      <c r="C1142" s="1">
        <v>11</v>
      </c>
      <c r="D1142" s="1">
        <v>8</v>
      </c>
      <c r="E1142" s="1">
        <v>72</v>
      </c>
      <c r="F1142" s="90">
        <v>9</v>
      </c>
    </row>
    <row r="1143" spans="1:6" x14ac:dyDescent="0.3">
      <c r="A1143" s="1" t="s">
        <v>126</v>
      </c>
      <c r="B1143" s="1" t="s">
        <v>5</v>
      </c>
      <c r="C1143" s="1">
        <v>12</v>
      </c>
      <c r="D1143" s="1">
        <v>23</v>
      </c>
      <c r="E1143" s="1">
        <v>230</v>
      </c>
      <c r="F1143" s="90">
        <v>10</v>
      </c>
    </row>
    <row r="1144" spans="1:6" x14ac:dyDescent="0.3">
      <c r="A1144" s="1" t="s">
        <v>126</v>
      </c>
      <c r="B1144" s="1" t="s">
        <v>5</v>
      </c>
      <c r="C1144" s="1">
        <v>13</v>
      </c>
      <c r="D1144" s="1">
        <v>1</v>
      </c>
      <c r="E1144" s="1">
        <v>5</v>
      </c>
      <c r="F1144" s="90">
        <v>5</v>
      </c>
    </row>
    <row r="1145" spans="1:6" x14ac:dyDescent="0.3">
      <c r="A1145" s="1" t="s">
        <v>126</v>
      </c>
      <c r="B1145" s="1" t="s">
        <v>5</v>
      </c>
      <c r="C1145" s="1">
        <v>14</v>
      </c>
      <c r="D1145" s="1">
        <v>1</v>
      </c>
      <c r="E1145" s="1">
        <v>15</v>
      </c>
      <c r="F1145" s="90">
        <v>15</v>
      </c>
    </row>
    <row r="1146" spans="1:6" x14ac:dyDescent="0.3">
      <c r="A1146" s="1" t="s">
        <v>126</v>
      </c>
      <c r="B1146" s="1" t="s">
        <v>5</v>
      </c>
      <c r="C1146" s="1">
        <v>15</v>
      </c>
      <c r="D1146" s="1">
        <v>15</v>
      </c>
      <c r="E1146" s="1">
        <v>79</v>
      </c>
      <c r="F1146" s="90">
        <v>5.2666666666666702</v>
      </c>
    </row>
    <row r="1147" spans="1:6" x14ac:dyDescent="0.3">
      <c r="A1147" s="1" t="s">
        <v>126</v>
      </c>
      <c r="B1147" s="1" t="s">
        <v>5</v>
      </c>
      <c r="C1147" s="1">
        <v>16</v>
      </c>
      <c r="D1147" s="1">
        <v>4</v>
      </c>
      <c r="E1147" s="1">
        <v>48</v>
      </c>
      <c r="F1147" s="90">
        <v>12</v>
      </c>
    </row>
    <row r="1148" spans="1:6" x14ac:dyDescent="0.3">
      <c r="A1148" s="1" t="s">
        <v>127</v>
      </c>
      <c r="B1148" s="1" t="s">
        <v>159</v>
      </c>
      <c r="C1148" s="1">
        <v>42</v>
      </c>
      <c r="D1148" s="1">
        <v>1</v>
      </c>
      <c r="E1148" s="1">
        <v>2</v>
      </c>
      <c r="F1148" s="90">
        <v>2</v>
      </c>
    </row>
    <row r="1149" spans="1:6" x14ac:dyDescent="0.3">
      <c r="A1149" s="1" t="s">
        <v>127</v>
      </c>
      <c r="B1149" s="1" t="s">
        <v>5</v>
      </c>
      <c r="C1149" s="1">
        <v>0</v>
      </c>
      <c r="D1149" s="1">
        <v>75</v>
      </c>
      <c r="E1149" s="1">
        <v>0</v>
      </c>
      <c r="F1149" s="90">
        <v>0</v>
      </c>
    </row>
    <row r="1150" spans="1:6" x14ac:dyDescent="0.3">
      <c r="A1150" s="1" t="s">
        <v>127</v>
      </c>
      <c r="B1150" s="1" t="s">
        <v>5</v>
      </c>
      <c r="C1150" s="1">
        <v>11</v>
      </c>
      <c r="D1150" s="1">
        <v>134</v>
      </c>
      <c r="E1150" s="1">
        <v>804</v>
      </c>
      <c r="F1150" s="90">
        <v>6</v>
      </c>
    </row>
    <row r="1151" spans="1:6" x14ac:dyDescent="0.3">
      <c r="A1151" s="1" t="s">
        <v>127</v>
      </c>
      <c r="B1151" s="1" t="s">
        <v>5</v>
      </c>
      <c r="C1151" s="1">
        <v>12</v>
      </c>
      <c r="D1151" s="1">
        <v>914</v>
      </c>
      <c r="E1151" s="1">
        <v>8226</v>
      </c>
      <c r="F1151" s="90">
        <v>9</v>
      </c>
    </row>
    <row r="1152" spans="1:6" x14ac:dyDescent="0.3">
      <c r="A1152" s="1" t="s">
        <v>127</v>
      </c>
      <c r="B1152" s="1" t="s">
        <v>5</v>
      </c>
      <c r="C1152" s="1">
        <v>13</v>
      </c>
      <c r="D1152" s="1">
        <v>10</v>
      </c>
      <c r="E1152" s="1">
        <v>50</v>
      </c>
      <c r="F1152" s="90">
        <v>5</v>
      </c>
    </row>
    <row r="1153" spans="1:6" x14ac:dyDescent="0.3">
      <c r="A1153" s="1" t="s">
        <v>127</v>
      </c>
      <c r="B1153" s="1" t="s">
        <v>5</v>
      </c>
      <c r="C1153" s="1">
        <v>14</v>
      </c>
      <c r="D1153" s="1">
        <v>1</v>
      </c>
      <c r="E1153" s="1">
        <v>11</v>
      </c>
      <c r="F1153" s="90">
        <v>11</v>
      </c>
    </row>
    <row r="1154" spans="1:6" x14ac:dyDescent="0.3">
      <c r="A1154" s="1" t="s">
        <v>127</v>
      </c>
      <c r="B1154" s="1" t="s">
        <v>5</v>
      </c>
      <c r="C1154" s="1">
        <v>15</v>
      </c>
      <c r="D1154" s="1">
        <v>45</v>
      </c>
      <c r="E1154" s="1">
        <v>234.6</v>
      </c>
      <c r="F1154" s="90">
        <v>5.2133333333333303</v>
      </c>
    </row>
    <row r="1155" spans="1:6" x14ac:dyDescent="0.3">
      <c r="A1155" s="1" t="s">
        <v>127</v>
      </c>
      <c r="B1155" s="1" t="s">
        <v>5</v>
      </c>
      <c r="C1155" s="1">
        <v>16</v>
      </c>
      <c r="D1155" s="1">
        <v>9</v>
      </c>
      <c r="E1155" s="1">
        <v>146.1</v>
      </c>
      <c r="F1155" s="90">
        <v>16.233333333333299</v>
      </c>
    </row>
    <row r="1156" spans="1:6" x14ac:dyDescent="0.3">
      <c r="A1156" s="1" t="s">
        <v>128</v>
      </c>
      <c r="B1156" s="1" t="s">
        <v>159</v>
      </c>
      <c r="C1156" s="1">
        <v>42</v>
      </c>
      <c r="D1156" s="1">
        <v>9</v>
      </c>
      <c r="E1156" s="1">
        <v>18</v>
      </c>
      <c r="F1156" s="90">
        <v>2</v>
      </c>
    </row>
    <row r="1157" spans="1:6" x14ac:dyDescent="0.3">
      <c r="A1157" s="1" t="s">
        <v>128</v>
      </c>
      <c r="B1157" s="1" t="s">
        <v>5</v>
      </c>
      <c r="C1157" s="1">
        <v>0</v>
      </c>
      <c r="D1157" s="1">
        <v>33</v>
      </c>
      <c r="E1157" s="1">
        <v>0</v>
      </c>
      <c r="F1157" s="90">
        <v>0</v>
      </c>
    </row>
    <row r="1158" spans="1:6" x14ac:dyDescent="0.3">
      <c r="A1158" s="1" t="s">
        <v>128</v>
      </c>
      <c r="B1158" s="1" t="s">
        <v>5</v>
      </c>
      <c r="C1158" s="1">
        <v>11</v>
      </c>
      <c r="D1158" s="1">
        <v>705</v>
      </c>
      <c r="E1158" s="1">
        <v>2820</v>
      </c>
      <c r="F1158" s="90">
        <v>4</v>
      </c>
    </row>
    <row r="1159" spans="1:6" x14ac:dyDescent="0.3">
      <c r="A1159" s="1" t="s">
        <v>128</v>
      </c>
      <c r="B1159" s="1" t="s">
        <v>5</v>
      </c>
      <c r="C1159" s="1">
        <v>12</v>
      </c>
      <c r="D1159" s="1">
        <v>638</v>
      </c>
      <c r="E1159" s="1">
        <v>2552</v>
      </c>
      <c r="F1159" s="90">
        <v>4</v>
      </c>
    </row>
    <row r="1160" spans="1:6" x14ac:dyDescent="0.3">
      <c r="A1160" s="1" t="s">
        <v>128</v>
      </c>
      <c r="B1160" s="1" t="s">
        <v>5</v>
      </c>
      <c r="C1160" s="1">
        <v>14</v>
      </c>
      <c r="D1160" s="1">
        <v>5</v>
      </c>
      <c r="E1160" s="1">
        <v>55</v>
      </c>
      <c r="F1160" s="90">
        <v>11</v>
      </c>
    </row>
    <row r="1161" spans="1:6" x14ac:dyDescent="0.3">
      <c r="A1161" s="1" t="s">
        <v>128</v>
      </c>
      <c r="B1161" s="1" t="s">
        <v>5</v>
      </c>
      <c r="C1161" s="1">
        <v>15</v>
      </c>
      <c r="D1161" s="1">
        <v>11</v>
      </c>
      <c r="E1161" s="1">
        <v>24.4</v>
      </c>
      <c r="F1161" s="90">
        <v>2.21818181818182</v>
      </c>
    </row>
    <row r="1162" spans="1:6" x14ac:dyDescent="0.3">
      <c r="A1162" s="1" t="s">
        <v>128</v>
      </c>
      <c r="B1162" s="1" t="s">
        <v>5</v>
      </c>
      <c r="C1162" s="1">
        <v>16</v>
      </c>
      <c r="D1162" s="1">
        <v>163</v>
      </c>
      <c r="E1162" s="1">
        <v>1081</v>
      </c>
      <c r="F1162" s="90">
        <v>6.6319018404907997</v>
      </c>
    </row>
    <row r="1163" spans="1:6" x14ac:dyDescent="0.3">
      <c r="A1163" s="1" t="s">
        <v>129</v>
      </c>
      <c r="B1163" s="1" t="s">
        <v>5</v>
      </c>
      <c r="C1163" s="1">
        <v>0</v>
      </c>
      <c r="D1163" s="1">
        <v>238</v>
      </c>
      <c r="E1163" s="1">
        <v>0</v>
      </c>
      <c r="F1163" s="90">
        <v>0</v>
      </c>
    </row>
    <row r="1164" spans="1:6" x14ac:dyDescent="0.3">
      <c r="A1164" s="1" t="s">
        <v>129</v>
      </c>
      <c r="B1164" s="1" t="s">
        <v>5</v>
      </c>
      <c r="C1164" s="1">
        <v>11</v>
      </c>
      <c r="D1164" s="1">
        <v>715</v>
      </c>
      <c r="E1164" s="1">
        <v>2860</v>
      </c>
      <c r="F1164" s="90">
        <v>4</v>
      </c>
    </row>
    <row r="1165" spans="1:6" x14ac:dyDescent="0.3">
      <c r="A1165" s="1" t="s">
        <v>129</v>
      </c>
      <c r="B1165" s="1" t="s">
        <v>5</v>
      </c>
      <c r="C1165" s="1">
        <v>12</v>
      </c>
      <c r="D1165" s="1">
        <v>15700</v>
      </c>
      <c r="E1165" s="1">
        <v>62800</v>
      </c>
      <c r="F1165" s="90">
        <v>4</v>
      </c>
    </row>
    <row r="1166" spans="1:6" x14ac:dyDescent="0.3">
      <c r="A1166" s="1" t="s">
        <v>129</v>
      </c>
      <c r="B1166" s="1" t="s">
        <v>5</v>
      </c>
      <c r="C1166" s="1">
        <v>15</v>
      </c>
      <c r="D1166" s="1">
        <v>3</v>
      </c>
      <c r="E1166" s="1">
        <v>9</v>
      </c>
      <c r="F1166" s="90">
        <v>3</v>
      </c>
    </row>
    <row r="1167" spans="1:6" x14ac:dyDescent="0.3">
      <c r="A1167" s="1" t="s">
        <v>129</v>
      </c>
      <c r="B1167" s="1" t="s">
        <v>5</v>
      </c>
      <c r="C1167" s="1">
        <v>16</v>
      </c>
      <c r="D1167" s="1">
        <v>15</v>
      </c>
      <c r="E1167" s="1">
        <v>99</v>
      </c>
      <c r="F1167" s="90">
        <v>6.6</v>
      </c>
    </row>
    <row r="1168" spans="1:6" x14ac:dyDescent="0.3">
      <c r="A1168" s="1" t="s">
        <v>130</v>
      </c>
      <c r="B1168" s="1" t="s">
        <v>5</v>
      </c>
      <c r="C1168" s="1">
        <v>0</v>
      </c>
      <c r="D1168" s="1">
        <v>19</v>
      </c>
      <c r="E1168" s="1">
        <v>0</v>
      </c>
      <c r="F1168" s="90">
        <v>0</v>
      </c>
    </row>
    <row r="1169" spans="1:6" x14ac:dyDescent="0.3">
      <c r="A1169" s="1" t="s">
        <v>130</v>
      </c>
      <c r="B1169" s="1" t="s">
        <v>5</v>
      </c>
      <c r="C1169" s="1">
        <v>11</v>
      </c>
      <c r="D1169" s="1">
        <v>429</v>
      </c>
      <c r="E1169" s="1">
        <v>2145</v>
      </c>
      <c r="F1169" s="90">
        <v>5</v>
      </c>
    </row>
    <row r="1170" spans="1:6" x14ac:dyDescent="0.3">
      <c r="A1170" s="1" t="s">
        <v>130</v>
      </c>
      <c r="B1170" s="1" t="s">
        <v>5</v>
      </c>
      <c r="C1170" s="1">
        <v>12</v>
      </c>
      <c r="D1170" s="1">
        <v>9265</v>
      </c>
      <c r="E1170" s="1">
        <v>46325</v>
      </c>
      <c r="F1170" s="90">
        <v>5</v>
      </c>
    </row>
    <row r="1171" spans="1:6" x14ac:dyDescent="0.3">
      <c r="A1171" s="1" t="s">
        <v>130</v>
      </c>
      <c r="B1171" s="1" t="s">
        <v>5</v>
      </c>
      <c r="C1171" s="1">
        <v>15</v>
      </c>
      <c r="D1171" s="1">
        <v>1</v>
      </c>
      <c r="E1171" s="1">
        <v>1.5</v>
      </c>
      <c r="F1171" s="90">
        <v>1.5</v>
      </c>
    </row>
    <row r="1172" spans="1:6" x14ac:dyDescent="0.3">
      <c r="A1172" s="1" t="s">
        <v>130</v>
      </c>
      <c r="B1172" s="1" t="s">
        <v>5</v>
      </c>
      <c r="C1172" s="1">
        <v>16</v>
      </c>
      <c r="D1172" s="1">
        <v>2</v>
      </c>
      <c r="E1172" s="1">
        <v>18</v>
      </c>
      <c r="F1172" s="90">
        <v>9</v>
      </c>
    </row>
    <row r="1173" spans="1:6" x14ac:dyDescent="0.3">
      <c r="A1173" s="1" t="s">
        <v>131</v>
      </c>
      <c r="B1173" s="1" t="s">
        <v>5</v>
      </c>
      <c r="C1173" s="1">
        <v>0</v>
      </c>
      <c r="D1173" s="1">
        <v>16</v>
      </c>
      <c r="E1173" s="1">
        <v>0</v>
      </c>
      <c r="F1173" s="90">
        <v>0</v>
      </c>
    </row>
    <row r="1174" spans="1:6" x14ac:dyDescent="0.3">
      <c r="A1174" s="1" t="s">
        <v>131</v>
      </c>
      <c r="B1174" s="1" t="s">
        <v>5</v>
      </c>
      <c r="C1174" s="1">
        <v>11</v>
      </c>
      <c r="D1174" s="1">
        <v>165</v>
      </c>
      <c r="E1174" s="1">
        <v>990</v>
      </c>
      <c r="F1174" s="90">
        <v>6</v>
      </c>
    </row>
    <row r="1175" spans="1:6" x14ac:dyDescent="0.3">
      <c r="A1175" s="1" t="s">
        <v>131</v>
      </c>
      <c r="B1175" s="1" t="s">
        <v>5</v>
      </c>
      <c r="C1175" s="1">
        <v>12</v>
      </c>
      <c r="D1175" s="1">
        <v>2371</v>
      </c>
      <c r="E1175" s="1">
        <v>14226</v>
      </c>
      <c r="F1175" s="90">
        <v>6</v>
      </c>
    </row>
    <row r="1176" spans="1:6" x14ac:dyDescent="0.3">
      <c r="A1176" s="1" t="s">
        <v>131</v>
      </c>
      <c r="B1176" s="1" t="s">
        <v>5</v>
      </c>
      <c r="C1176" s="1">
        <v>13</v>
      </c>
      <c r="D1176" s="1">
        <v>44</v>
      </c>
      <c r="E1176" s="1">
        <v>220</v>
      </c>
      <c r="F1176" s="90">
        <v>5</v>
      </c>
    </row>
    <row r="1177" spans="1:6" x14ac:dyDescent="0.3">
      <c r="A1177" s="1" t="s">
        <v>131</v>
      </c>
      <c r="B1177" s="1" t="s">
        <v>5</v>
      </c>
      <c r="C1177" s="1">
        <v>15</v>
      </c>
      <c r="D1177" s="1">
        <v>328</v>
      </c>
      <c r="E1177" s="1">
        <v>1639</v>
      </c>
      <c r="F1177" s="90">
        <v>4.9969512195121997</v>
      </c>
    </row>
    <row r="1178" spans="1:6" x14ac:dyDescent="0.3">
      <c r="A1178" s="1" t="s">
        <v>131</v>
      </c>
      <c r="B1178" s="1" t="s">
        <v>5</v>
      </c>
      <c r="C1178" s="1">
        <v>16</v>
      </c>
      <c r="D1178" s="1">
        <v>3</v>
      </c>
      <c r="E1178" s="1">
        <v>24.5</v>
      </c>
      <c r="F1178" s="90">
        <v>8.1666666666666696</v>
      </c>
    </row>
    <row r="1179" spans="1:6" x14ac:dyDescent="0.3">
      <c r="A1179" s="1" t="s">
        <v>132</v>
      </c>
      <c r="B1179" s="1" t="s">
        <v>159</v>
      </c>
      <c r="C1179" s="1">
        <v>42</v>
      </c>
      <c r="D1179" s="1">
        <v>6</v>
      </c>
      <c r="E1179" s="1">
        <v>12</v>
      </c>
      <c r="F1179" s="90">
        <v>2</v>
      </c>
    </row>
    <row r="1180" spans="1:6" x14ac:dyDescent="0.3">
      <c r="A1180" s="1" t="s">
        <v>132</v>
      </c>
      <c r="B1180" s="1" t="s">
        <v>5</v>
      </c>
      <c r="C1180" s="1">
        <v>0</v>
      </c>
      <c r="D1180" s="1">
        <v>11</v>
      </c>
      <c r="E1180" s="1">
        <v>0</v>
      </c>
      <c r="F1180" s="90">
        <v>0</v>
      </c>
    </row>
    <row r="1181" spans="1:6" x14ac:dyDescent="0.3">
      <c r="A1181" s="1" t="s">
        <v>132</v>
      </c>
      <c r="B1181" s="1" t="s">
        <v>5</v>
      </c>
      <c r="C1181" s="1">
        <v>11</v>
      </c>
      <c r="D1181" s="1">
        <v>76</v>
      </c>
      <c r="E1181" s="1">
        <v>532</v>
      </c>
      <c r="F1181" s="90">
        <v>7</v>
      </c>
    </row>
    <row r="1182" spans="1:6" x14ac:dyDescent="0.3">
      <c r="A1182" s="1" t="s">
        <v>132</v>
      </c>
      <c r="B1182" s="1" t="s">
        <v>5</v>
      </c>
      <c r="C1182" s="1">
        <v>12</v>
      </c>
      <c r="D1182" s="1">
        <v>1767</v>
      </c>
      <c r="E1182" s="1">
        <v>17670</v>
      </c>
      <c r="F1182" s="90">
        <v>10</v>
      </c>
    </row>
    <row r="1183" spans="1:6" x14ac:dyDescent="0.3">
      <c r="A1183" s="1" t="s">
        <v>132</v>
      </c>
      <c r="B1183" s="1" t="s">
        <v>5</v>
      </c>
      <c r="C1183" s="1">
        <v>13</v>
      </c>
      <c r="D1183" s="1">
        <v>2</v>
      </c>
      <c r="E1183" s="1">
        <v>4</v>
      </c>
      <c r="F1183" s="90">
        <v>2</v>
      </c>
    </row>
    <row r="1184" spans="1:6" x14ac:dyDescent="0.3">
      <c r="A1184" s="1" t="s">
        <v>132</v>
      </c>
      <c r="B1184" s="1" t="s">
        <v>5</v>
      </c>
      <c r="C1184" s="1">
        <v>15</v>
      </c>
      <c r="D1184" s="1">
        <v>54</v>
      </c>
      <c r="E1184" s="1">
        <v>154</v>
      </c>
      <c r="F1184" s="90">
        <v>2.8518518518518499</v>
      </c>
    </row>
    <row r="1185" spans="1:6" x14ac:dyDescent="0.3">
      <c r="A1185" s="1" t="s">
        <v>132</v>
      </c>
      <c r="B1185" s="1" t="s">
        <v>5</v>
      </c>
      <c r="C1185" s="1">
        <v>16</v>
      </c>
      <c r="D1185" s="1">
        <v>4</v>
      </c>
      <c r="E1185" s="1">
        <v>61</v>
      </c>
      <c r="F1185" s="90">
        <v>15.25</v>
      </c>
    </row>
    <row r="1186" spans="1:6" x14ac:dyDescent="0.3">
      <c r="A1186" s="1" t="s">
        <v>133</v>
      </c>
      <c r="B1186" s="1" t="s">
        <v>159</v>
      </c>
      <c r="C1186" s="1">
        <v>0</v>
      </c>
      <c r="D1186" s="1">
        <v>1</v>
      </c>
      <c r="E1186" s="1">
        <v>0</v>
      </c>
      <c r="F1186" s="90">
        <v>0</v>
      </c>
    </row>
    <row r="1187" spans="1:6" x14ac:dyDescent="0.3">
      <c r="A1187" s="1" t="s">
        <v>133</v>
      </c>
      <c r="B1187" s="1" t="s">
        <v>159</v>
      </c>
      <c r="C1187" s="1">
        <v>42</v>
      </c>
      <c r="D1187" s="1">
        <v>1128</v>
      </c>
      <c r="E1187" s="1">
        <v>2256</v>
      </c>
      <c r="F1187" s="90">
        <v>2</v>
      </c>
    </row>
    <row r="1188" spans="1:6" x14ac:dyDescent="0.3">
      <c r="A1188" s="1" t="s">
        <v>133</v>
      </c>
      <c r="B1188" s="1" t="s">
        <v>159</v>
      </c>
      <c r="C1188" s="1">
        <v>46</v>
      </c>
      <c r="D1188" s="1">
        <v>19</v>
      </c>
      <c r="E1188" s="1">
        <v>80</v>
      </c>
      <c r="F1188" s="90">
        <v>4.2105263157894699</v>
      </c>
    </row>
    <row r="1189" spans="1:6" x14ac:dyDescent="0.3">
      <c r="A1189" s="1" t="s">
        <v>133</v>
      </c>
      <c r="B1189" s="1" t="s">
        <v>5</v>
      </c>
      <c r="C1189" s="1">
        <v>0</v>
      </c>
      <c r="D1189" s="1">
        <v>612</v>
      </c>
      <c r="E1189" s="1">
        <v>0</v>
      </c>
      <c r="F1189" s="90">
        <v>0</v>
      </c>
    </row>
    <row r="1190" spans="1:6" x14ac:dyDescent="0.3">
      <c r="A1190" s="1" t="s">
        <v>133</v>
      </c>
      <c r="B1190" s="1" t="s">
        <v>5</v>
      </c>
      <c r="C1190" s="1">
        <v>11</v>
      </c>
      <c r="D1190" s="1">
        <v>448</v>
      </c>
      <c r="E1190" s="1">
        <v>1344</v>
      </c>
      <c r="F1190" s="90">
        <v>3</v>
      </c>
    </row>
    <row r="1191" spans="1:6" x14ac:dyDescent="0.3">
      <c r="A1191" s="1" t="s">
        <v>133</v>
      </c>
      <c r="B1191" s="1" t="s">
        <v>5</v>
      </c>
      <c r="C1191" s="1">
        <v>12</v>
      </c>
      <c r="D1191" s="1">
        <v>4522</v>
      </c>
      <c r="E1191" s="1">
        <v>18088</v>
      </c>
      <c r="F1191" s="90">
        <v>4</v>
      </c>
    </row>
    <row r="1192" spans="1:6" x14ac:dyDescent="0.3">
      <c r="A1192" s="1" t="s">
        <v>133</v>
      </c>
      <c r="B1192" s="1" t="s">
        <v>5</v>
      </c>
      <c r="C1192" s="1">
        <v>13</v>
      </c>
      <c r="D1192" s="1">
        <v>6</v>
      </c>
      <c r="E1192" s="1">
        <v>11.1</v>
      </c>
      <c r="F1192" s="90">
        <v>1.85</v>
      </c>
    </row>
    <row r="1193" spans="1:6" x14ac:dyDescent="0.3">
      <c r="A1193" s="1" t="s">
        <v>133</v>
      </c>
      <c r="B1193" s="1" t="s">
        <v>5</v>
      </c>
      <c r="C1193" s="1">
        <v>14</v>
      </c>
      <c r="D1193" s="1">
        <v>6</v>
      </c>
      <c r="E1193" s="1">
        <v>30</v>
      </c>
      <c r="F1193" s="90">
        <v>5</v>
      </c>
    </row>
    <row r="1194" spans="1:6" x14ac:dyDescent="0.3">
      <c r="A1194" s="1" t="s">
        <v>133</v>
      </c>
      <c r="B1194" s="1" t="s">
        <v>5</v>
      </c>
      <c r="C1194" s="1">
        <v>15</v>
      </c>
      <c r="D1194" s="1">
        <v>120</v>
      </c>
      <c r="E1194" s="1">
        <v>206.7</v>
      </c>
      <c r="F1194" s="90">
        <v>1.7224999999999999</v>
      </c>
    </row>
    <row r="1195" spans="1:6" x14ac:dyDescent="0.3">
      <c r="A1195" s="1" t="s">
        <v>133</v>
      </c>
      <c r="B1195" s="1" t="s">
        <v>5</v>
      </c>
      <c r="C1195" s="1">
        <v>16</v>
      </c>
      <c r="D1195" s="1">
        <v>16</v>
      </c>
      <c r="E1195" s="1">
        <v>140.5</v>
      </c>
      <c r="F1195" s="90">
        <v>8.78125</v>
      </c>
    </row>
    <row r="1196" spans="1:6" x14ac:dyDescent="0.3">
      <c r="A1196" s="1" t="s">
        <v>134</v>
      </c>
      <c r="B1196" s="1" t="s">
        <v>159</v>
      </c>
      <c r="C1196" s="1">
        <v>41</v>
      </c>
      <c r="D1196" s="1">
        <v>1</v>
      </c>
      <c r="E1196" s="1">
        <v>2</v>
      </c>
      <c r="F1196" s="90">
        <v>2</v>
      </c>
    </row>
    <row r="1197" spans="1:6" x14ac:dyDescent="0.3">
      <c r="A1197" s="1" t="s">
        <v>134</v>
      </c>
      <c r="B1197" s="1" t="s">
        <v>159</v>
      </c>
      <c r="C1197" s="1">
        <v>42</v>
      </c>
      <c r="D1197" s="1">
        <v>33</v>
      </c>
      <c r="E1197" s="1">
        <v>66</v>
      </c>
      <c r="F1197" s="90">
        <v>2</v>
      </c>
    </row>
    <row r="1198" spans="1:6" x14ac:dyDescent="0.3">
      <c r="A1198" s="1" t="s">
        <v>134</v>
      </c>
      <c r="B1198" s="1" t="s">
        <v>5</v>
      </c>
      <c r="C1198" s="1">
        <v>0</v>
      </c>
      <c r="D1198" s="1">
        <v>4</v>
      </c>
      <c r="E1198" s="1">
        <v>0</v>
      </c>
      <c r="F1198" s="90">
        <v>0</v>
      </c>
    </row>
    <row r="1199" spans="1:6" x14ac:dyDescent="0.3">
      <c r="A1199" s="1" t="s">
        <v>134</v>
      </c>
      <c r="B1199" s="1" t="s">
        <v>5</v>
      </c>
      <c r="C1199" s="1">
        <v>11</v>
      </c>
      <c r="D1199" s="1">
        <v>99</v>
      </c>
      <c r="E1199" s="1">
        <v>396</v>
      </c>
      <c r="F1199" s="90">
        <v>4</v>
      </c>
    </row>
    <row r="1200" spans="1:6" x14ac:dyDescent="0.3">
      <c r="A1200" s="1" t="s">
        <v>134</v>
      </c>
      <c r="B1200" s="1" t="s">
        <v>5</v>
      </c>
      <c r="C1200" s="1">
        <v>12</v>
      </c>
      <c r="D1200" s="1">
        <v>2055</v>
      </c>
      <c r="E1200" s="1">
        <v>10275</v>
      </c>
      <c r="F1200" s="90">
        <v>5</v>
      </c>
    </row>
    <row r="1201" spans="1:6" x14ac:dyDescent="0.3">
      <c r="A1201" s="1" t="s">
        <v>134</v>
      </c>
      <c r="B1201" s="1" t="s">
        <v>5</v>
      </c>
      <c r="C1201" s="1">
        <v>15</v>
      </c>
      <c r="D1201" s="1">
        <v>3</v>
      </c>
      <c r="E1201" s="1">
        <v>6</v>
      </c>
      <c r="F1201" s="90">
        <v>2</v>
      </c>
    </row>
    <row r="1202" spans="1:6" x14ac:dyDescent="0.3">
      <c r="A1202" s="1" t="s">
        <v>134</v>
      </c>
      <c r="B1202" s="1" t="s">
        <v>5</v>
      </c>
      <c r="C1202" s="1">
        <v>16</v>
      </c>
      <c r="D1202" s="1">
        <v>1</v>
      </c>
      <c r="E1202" s="1">
        <v>7.5</v>
      </c>
      <c r="F1202" s="90">
        <v>7.5</v>
      </c>
    </row>
    <row r="1203" spans="1:6" x14ac:dyDescent="0.3">
      <c r="A1203" s="1" t="s">
        <v>135</v>
      </c>
      <c r="B1203" s="1" t="s">
        <v>159</v>
      </c>
      <c r="C1203" s="1">
        <v>41</v>
      </c>
      <c r="D1203" s="1">
        <v>1</v>
      </c>
      <c r="E1203" s="1">
        <v>2</v>
      </c>
      <c r="F1203" s="90">
        <v>2</v>
      </c>
    </row>
    <row r="1204" spans="1:6" x14ac:dyDescent="0.3">
      <c r="A1204" s="1" t="s">
        <v>135</v>
      </c>
      <c r="B1204" s="1" t="s">
        <v>159</v>
      </c>
      <c r="C1204" s="1">
        <v>42</v>
      </c>
      <c r="D1204" s="1">
        <v>20</v>
      </c>
      <c r="E1204" s="1">
        <v>40</v>
      </c>
      <c r="F1204" s="90">
        <v>2</v>
      </c>
    </row>
    <row r="1205" spans="1:6" x14ac:dyDescent="0.3">
      <c r="A1205" s="1" t="s">
        <v>135</v>
      </c>
      <c r="B1205" s="1" t="s">
        <v>5</v>
      </c>
      <c r="C1205" s="1">
        <v>0</v>
      </c>
      <c r="D1205" s="1">
        <v>100</v>
      </c>
      <c r="E1205" s="1">
        <v>0</v>
      </c>
      <c r="F1205" s="90">
        <v>0</v>
      </c>
    </row>
    <row r="1206" spans="1:6" x14ac:dyDescent="0.3">
      <c r="A1206" s="1" t="s">
        <v>135</v>
      </c>
      <c r="B1206" s="1" t="s">
        <v>5</v>
      </c>
      <c r="C1206" s="1">
        <v>10</v>
      </c>
      <c r="D1206" s="1">
        <v>2</v>
      </c>
      <c r="E1206" s="1">
        <v>0</v>
      </c>
      <c r="F1206" s="90">
        <v>0</v>
      </c>
    </row>
    <row r="1207" spans="1:6" x14ac:dyDescent="0.3">
      <c r="A1207" s="1" t="s">
        <v>135</v>
      </c>
      <c r="B1207" s="1" t="s">
        <v>5</v>
      </c>
      <c r="C1207" s="1">
        <v>11</v>
      </c>
      <c r="D1207" s="1">
        <v>103</v>
      </c>
      <c r="E1207" s="1">
        <v>515</v>
      </c>
      <c r="F1207" s="90">
        <v>5</v>
      </c>
    </row>
    <row r="1208" spans="1:6" x14ac:dyDescent="0.3">
      <c r="A1208" s="1" t="s">
        <v>135</v>
      </c>
      <c r="B1208" s="1" t="s">
        <v>5</v>
      </c>
      <c r="C1208" s="1">
        <v>12</v>
      </c>
      <c r="D1208" s="1">
        <v>391</v>
      </c>
      <c r="E1208" s="1">
        <v>3519</v>
      </c>
      <c r="F1208" s="90">
        <v>9</v>
      </c>
    </row>
    <row r="1209" spans="1:6" x14ac:dyDescent="0.3">
      <c r="A1209" s="1" t="s">
        <v>135</v>
      </c>
      <c r="B1209" s="1" t="s">
        <v>5</v>
      </c>
      <c r="C1209" s="1">
        <v>13</v>
      </c>
      <c r="D1209" s="1">
        <v>28</v>
      </c>
      <c r="E1209" s="1">
        <v>93.9</v>
      </c>
      <c r="F1209" s="90">
        <v>3.35357142857143</v>
      </c>
    </row>
    <row r="1210" spans="1:6" x14ac:dyDescent="0.3">
      <c r="A1210" s="1" t="s">
        <v>135</v>
      </c>
      <c r="B1210" s="1" t="s">
        <v>5</v>
      </c>
      <c r="C1210" s="1">
        <v>14</v>
      </c>
      <c r="D1210" s="1">
        <v>41</v>
      </c>
      <c r="E1210" s="1">
        <v>467.6</v>
      </c>
      <c r="F1210" s="90">
        <v>11.4048780487805</v>
      </c>
    </row>
    <row r="1211" spans="1:6" x14ac:dyDescent="0.3">
      <c r="A1211" s="1" t="s">
        <v>135</v>
      </c>
      <c r="B1211" s="1" t="s">
        <v>5</v>
      </c>
      <c r="C1211" s="1">
        <v>15</v>
      </c>
      <c r="D1211" s="1">
        <v>101</v>
      </c>
      <c r="E1211" s="1">
        <v>556.79999999999995</v>
      </c>
      <c r="F1211" s="90">
        <v>5.5128712871287098</v>
      </c>
    </row>
    <row r="1212" spans="1:6" x14ac:dyDescent="0.3">
      <c r="A1212" s="1" t="s">
        <v>135</v>
      </c>
      <c r="B1212" s="1" t="s">
        <v>5</v>
      </c>
      <c r="C1212" s="1">
        <v>16</v>
      </c>
      <c r="D1212" s="1">
        <v>43</v>
      </c>
      <c r="E1212" s="1">
        <v>626.4</v>
      </c>
      <c r="F1212" s="90">
        <v>14.567441860465101</v>
      </c>
    </row>
    <row r="1213" spans="1:6" x14ac:dyDescent="0.3">
      <c r="A1213" s="1" t="s">
        <v>136</v>
      </c>
      <c r="B1213" s="1" t="s">
        <v>159</v>
      </c>
      <c r="C1213" s="1">
        <v>42</v>
      </c>
      <c r="D1213" s="1">
        <v>75</v>
      </c>
      <c r="E1213" s="1">
        <v>150</v>
      </c>
      <c r="F1213" s="90">
        <v>2</v>
      </c>
    </row>
    <row r="1214" spans="1:6" x14ac:dyDescent="0.3">
      <c r="A1214" s="1" t="s">
        <v>136</v>
      </c>
      <c r="B1214" s="1" t="s">
        <v>5</v>
      </c>
      <c r="C1214" s="1">
        <v>0</v>
      </c>
      <c r="D1214" s="1">
        <v>20</v>
      </c>
      <c r="E1214" s="1">
        <v>0</v>
      </c>
      <c r="F1214" s="90">
        <v>0</v>
      </c>
    </row>
    <row r="1215" spans="1:6" x14ac:dyDescent="0.3">
      <c r="A1215" s="1" t="s">
        <v>136</v>
      </c>
      <c r="B1215" s="1" t="s">
        <v>5</v>
      </c>
      <c r="C1215" s="1">
        <v>11</v>
      </c>
      <c r="D1215" s="1">
        <v>205</v>
      </c>
      <c r="E1215" s="1">
        <v>820</v>
      </c>
      <c r="F1215" s="90">
        <v>4</v>
      </c>
    </row>
    <row r="1216" spans="1:6" x14ac:dyDescent="0.3">
      <c r="A1216" s="1" t="s">
        <v>136</v>
      </c>
      <c r="B1216" s="1" t="s">
        <v>5</v>
      </c>
      <c r="C1216" s="1">
        <v>12</v>
      </c>
      <c r="D1216" s="1">
        <v>2359</v>
      </c>
      <c r="E1216" s="1">
        <v>11795</v>
      </c>
      <c r="F1216" s="90">
        <v>5</v>
      </c>
    </row>
    <row r="1217" spans="1:6" x14ac:dyDescent="0.3">
      <c r="A1217" s="1" t="s">
        <v>136</v>
      </c>
      <c r="B1217" s="1" t="s">
        <v>5</v>
      </c>
      <c r="C1217" s="1">
        <v>13</v>
      </c>
      <c r="D1217" s="1">
        <v>2</v>
      </c>
      <c r="E1217" s="1">
        <v>6</v>
      </c>
      <c r="F1217" s="90">
        <v>3</v>
      </c>
    </row>
    <row r="1218" spans="1:6" x14ac:dyDescent="0.3">
      <c r="A1218" s="1" t="s">
        <v>136</v>
      </c>
      <c r="B1218" s="1" t="s">
        <v>5</v>
      </c>
      <c r="C1218" s="1">
        <v>14</v>
      </c>
      <c r="D1218" s="1">
        <v>10</v>
      </c>
      <c r="E1218" s="1">
        <v>64</v>
      </c>
      <c r="F1218" s="90">
        <v>6.4</v>
      </c>
    </row>
    <row r="1219" spans="1:6" x14ac:dyDescent="0.3">
      <c r="A1219" s="1" t="s">
        <v>136</v>
      </c>
      <c r="B1219" s="1" t="s">
        <v>5</v>
      </c>
      <c r="C1219" s="1">
        <v>15</v>
      </c>
      <c r="D1219" s="1">
        <v>21</v>
      </c>
      <c r="E1219" s="1">
        <v>63.4</v>
      </c>
      <c r="F1219" s="90">
        <v>3.0190476190476199</v>
      </c>
    </row>
    <row r="1220" spans="1:6" x14ac:dyDescent="0.3">
      <c r="A1220" s="1" t="s">
        <v>136</v>
      </c>
      <c r="B1220" s="1" t="s">
        <v>5</v>
      </c>
      <c r="C1220" s="1">
        <v>16</v>
      </c>
      <c r="D1220" s="1">
        <v>33</v>
      </c>
      <c r="E1220" s="1">
        <v>292.60000000000002</v>
      </c>
      <c r="F1220" s="90">
        <v>8.8666666666666707</v>
      </c>
    </row>
    <row r="1221" spans="1:6" x14ac:dyDescent="0.3">
      <c r="A1221" s="1" t="s">
        <v>137</v>
      </c>
      <c r="B1221" s="1" t="s">
        <v>159</v>
      </c>
      <c r="C1221" s="1">
        <v>42</v>
      </c>
      <c r="D1221" s="1">
        <v>147</v>
      </c>
      <c r="E1221" s="1">
        <v>294</v>
      </c>
      <c r="F1221" s="90">
        <v>2</v>
      </c>
    </row>
    <row r="1222" spans="1:6" x14ac:dyDescent="0.3">
      <c r="A1222" s="1" t="s">
        <v>137</v>
      </c>
      <c r="B1222" s="1" t="s">
        <v>5</v>
      </c>
      <c r="C1222" s="1">
        <v>0</v>
      </c>
      <c r="D1222" s="1">
        <v>3</v>
      </c>
      <c r="E1222" s="1">
        <v>0</v>
      </c>
      <c r="F1222" s="90">
        <v>0</v>
      </c>
    </row>
    <row r="1223" spans="1:6" x14ac:dyDescent="0.3">
      <c r="A1223" s="1" t="s">
        <v>137</v>
      </c>
      <c r="B1223" s="1" t="s">
        <v>5</v>
      </c>
      <c r="C1223" s="1">
        <v>11</v>
      </c>
      <c r="D1223" s="1">
        <v>6</v>
      </c>
      <c r="E1223" s="1">
        <v>24</v>
      </c>
      <c r="F1223" s="90">
        <v>4</v>
      </c>
    </row>
    <row r="1224" spans="1:6" x14ac:dyDescent="0.3">
      <c r="A1224" s="1" t="s">
        <v>137</v>
      </c>
      <c r="B1224" s="1" t="s">
        <v>5</v>
      </c>
      <c r="C1224" s="1">
        <v>12</v>
      </c>
      <c r="D1224" s="1">
        <v>78</v>
      </c>
      <c r="E1224" s="1">
        <v>468</v>
      </c>
      <c r="F1224" s="90">
        <v>6</v>
      </c>
    </row>
    <row r="1225" spans="1:6" x14ac:dyDescent="0.3">
      <c r="A1225" s="1" t="s">
        <v>137</v>
      </c>
      <c r="B1225" s="1" t="s">
        <v>5</v>
      </c>
      <c r="C1225" s="1">
        <v>15</v>
      </c>
      <c r="D1225" s="1">
        <v>4</v>
      </c>
      <c r="E1225" s="1">
        <v>20</v>
      </c>
      <c r="F1225" s="90">
        <v>5</v>
      </c>
    </row>
    <row r="1226" spans="1:6" x14ac:dyDescent="0.3">
      <c r="A1226" s="1" t="s">
        <v>138</v>
      </c>
      <c r="B1226" s="1" t="s">
        <v>5</v>
      </c>
      <c r="C1226" s="1">
        <v>0</v>
      </c>
      <c r="D1226" s="1">
        <v>126</v>
      </c>
      <c r="E1226" s="1">
        <v>0</v>
      </c>
      <c r="F1226" s="90">
        <v>0</v>
      </c>
    </row>
    <row r="1227" spans="1:6" x14ac:dyDescent="0.3">
      <c r="A1227" s="1" t="s">
        <v>138</v>
      </c>
      <c r="B1227" s="1" t="s">
        <v>5</v>
      </c>
      <c r="C1227" s="1">
        <v>11</v>
      </c>
      <c r="D1227" s="1">
        <v>556</v>
      </c>
      <c r="E1227" s="1">
        <v>2224</v>
      </c>
      <c r="F1227" s="90">
        <v>4</v>
      </c>
    </row>
    <row r="1228" spans="1:6" x14ac:dyDescent="0.3">
      <c r="A1228" s="1" t="s">
        <v>138</v>
      </c>
      <c r="B1228" s="1" t="s">
        <v>5</v>
      </c>
      <c r="C1228" s="1">
        <v>12</v>
      </c>
      <c r="D1228" s="1">
        <v>3700</v>
      </c>
      <c r="E1228" s="1">
        <v>14800</v>
      </c>
      <c r="F1228" s="90">
        <v>4</v>
      </c>
    </row>
    <row r="1229" spans="1:6" x14ac:dyDescent="0.3">
      <c r="A1229" s="1" t="s">
        <v>138</v>
      </c>
      <c r="B1229" s="1" t="s">
        <v>5</v>
      </c>
      <c r="C1229" s="1">
        <v>13</v>
      </c>
      <c r="D1229" s="1">
        <v>7</v>
      </c>
      <c r="E1229" s="1">
        <v>14</v>
      </c>
      <c r="F1229" s="90">
        <v>2</v>
      </c>
    </row>
    <row r="1230" spans="1:6" x14ac:dyDescent="0.3">
      <c r="A1230" s="1" t="s">
        <v>138</v>
      </c>
      <c r="B1230" s="1" t="s">
        <v>5</v>
      </c>
      <c r="C1230" s="1">
        <v>15</v>
      </c>
      <c r="D1230" s="1">
        <v>21</v>
      </c>
      <c r="E1230" s="1">
        <v>46</v>
      </c>
      <c r="F1230" s="90">
        <v>2.1904761904761898</v>
      </c>
    </row>
    <row r="1231" spans="1:6" x14ac:dyDescent="0.3">
      <c r="A1231" s="1" t="s">
        <v>138</v>
      </c>
      <c r="B1231" s="1" t="s">
        <v>5</v>
      </c>
      <c r="C1231" s="1">
        <v>16</v>
      </c>
      <c r="D1231" s="1">
        <v>4</v>
      </c>
      <c r="E1231" s="1">
        <v>30.5</v>
      </c>
      <c r="F1231" s="90">
        <v>7.625</v>
      </c>
    </row>
    <row r="1232" spans="1:6" x14ac:dyDescent="0.3">
      <c r="A1232" s="1" t="s">
        <v>139</v>
      </c>
      <c r="B1232" s="1" t="s">
        <v>5</v>
      </c>
      <c r="C1232" s="1">
        <v>0</v>
      </c>
      <c r="D1232" s="1">
        <v>7</v>
      </c>
      <c r="E1232" s="1">
        <v>0</v>
      </c>
      <c r="F1232" s="90">
        <v>0</v>
      </c>
    </row>
    <row r="1233" spans="1:6" x14ac:dyDescent="0.3">
      <c r="A1233" s="1" t="s">
        <v>139</v>
      </c>
      <c r="B1233" s="1" t="s">
        <v>5</v>
      </c>
      <c r="C1233" s="1">
        <v>11</v>
      </c>
      <c r="D1233" s="1">
        <v>126</v>
      </c>
      <c r="E1233" s="1">
        <v>378</v>
      </c>
      <c r="F1233" s="90">
        <v>3</v>
      </c>
    </row>
    <row r="1234" spans="1:6" x14ac:dyDescent="0.3">
      <c r="A1234" s="1" t="s">
        <v>139</v>
      </c>
      <c r="B1234" s="1" t="s">
        <v>5</v>
      </c>
      <c r="C1234" s="1">
        <v>12</v>
      </c>
      <c r="D1234" s="1">
        <v>1105</v>
      </c>
      <c r="E1234" s="1">
        <v>4420</v>
      </c>
      <c r="F1234" s="90">
        <v>4</v>
      </c>
    </row>
    <row r="1235" spans="1:6" x14ac:dyDescent="0.3">
      <c r="A1235" s="1" t="s">
        <v>139</v>
      </c>
      <c r="B1235" s="1" t="s">
        <v>5</v>
      </c>
      <c r="C1235" s="1">
        <v>15</v>
      </c>
      <c r="D1235" s="1">
        <v>4</v>
      </c>
      <c r="E1235" s="1">
        <v>10</v>
      </c>
      <c r="F1235" s="90">
        <v>2.5</v>
      </c>
    </row>
    <row r="1236" spans="1:6" x14ac:dyDescent="0.3">
      <c r="A1236" s="1" t="s">
        <v>139</v>
      </c>
      <c r="B1236" s="1" t="s">
        <v>5</v>
      </c>
      <c r="C1236" s="1">
        <v>16</v>
      </c>
      <c r="D1236" s="1">
        <v>1</v>
      </c>
      <c r="E1236" s="1">
        <v>6</v>
      </c>
      <c r="F1236" s="90">
        <v>6</v>
      </c>
    </row>
    <row r="1237" spans="1:6" x14ac:dyDescent="0.3">
      <c r="A1237" s="1" t="s">
        <v>140</v>
      </c>
      <c r="B1237" s="1" t="s">
        <v>159</v>
      </c>
      <c r="C1237" s="1">
        <v>42</v>
      </c>
      <c r="D1237" s="1">
        <v>3</v>
      </c>
      <c r="E1237" s="1">
        <v>6</v>
      </c>
      <c r="F1237" s="90">
        <v>2</v>
      </c>
    </row>
    <row r="1238" spans="1:6" x14ac:dyDescent="0.3">
      <c r="A1238" s="1" t="s">
        <v>140</v>
      </c>
      <c r="B1238" s="1" t="s">
        <v>5</v>
      </c>
      <c r="C1238" s="1">
        <v>0</v>
      </c>
      <c r="D1238" s="1">
        <v>176</v>
      </c>
      <c r="E1238" s="1">
        <v>0</v>
      </c>
      <c r="F1238" s="90">
        <v>0</v>
      </c>
    </row>
    <row r="1239" spans="1:6" x14ac:dyDescent="0.3">
      <c r="A1239" s="1" t="s">
        <v>140</v>
      </c>
      <c r="B1239" s="1" t="s">
        <v>5</v>
      </c>
      <c r="C1239" s="1">
        <v>11</v>
      </c>
      <c r="D1239" s="1">
        <v>228</v>
      </c>
      <c r="E1239" s="1">
        <v>684</v>
      </c>
      <c r="F1239" s="90">
        <v>3</v>
      </c>
    </row>
    <row r="1240" spans="1:6" x14ac:dyDescent="0.3">
      <c r="A1240" s="1" t="s">
        <v>140</v>
      </c>
      <c r="B1240" s="1" t="s">
        <v>5</v>
      </c>
      <c r="C1240" s="1">
        <v>12</v>
      </c>
      <c r="D1240" s="1">
        <v>3421</v>
      </c>
      <c r="E1240" s="1">
        <v>17105</v>
      </c>
      <c r="F1240" s="90">
        <v>5</v>
      </c>
    </row>
    <row r="1241" spans="1:6" x14ac:dyDescent="0.3">
      <c r="A1241" s="1" t="s">
        <v>140</v>
      </c>
      <c r="B1241" s="1" t="s">
        <v>5</v>
      </c>
      <c r="C1241" s="1">
        <v>13</v>
      </c>
      <c r="D1241" s="1">
        <v>1</v>
      </c>
      <c r="E1241" s="1">
        <v>2</v>
      </c>
      <c r="F1241" s="90">
        <v>2</v>
      </c>
    </row>
    <row r="1242" spans="1:6" x14ac:dyDescent="0.3">
      <c r="A1242" s="1" t="s">
        <v>140</v>
      </c>
      <c r="B1242" s="1" t="s">
        <v>5</v>
      </c>
      <c r="C1242" s="1">
        <v>15</v>
      </c>
      <c r="D1242" s="1">
        <v>4</v>
      </c>
      <c r="E1242" s="1">
        <v>13.6</v>
      </c>
      <c r="F1242" s="90">
        <v>3.4</v>
      </c>
    </row>
    <row r="1243" spans="1:6" x14ac:dyDescent="0.3">
      <c r="A1243" s="1" t="s">
        <v>140</v>
      </c>
      <c r="B1243" s="1" t="s">
        <v>5</v>
      </c>
      <c r="C1243" s="1">
        <v>16</v>
      </c>
      <c r="D1243" s="1">
        <v>4</v>
      </c>
      <c r="E1243" s="1">
        <v>35</v>
      </c>
      <c r="F1243" s="90">
        <v>8.75</v>
      </c>
    </row>
    <row r="1244" spans="1:6" x14ac:dyDescent="0.3">
      <c r="A1244" s="1" t="s">
        <v>141</v>
      </c>
      <c r="B1244" s="1" t="s">
        <v>159</v>
      </c>
      <c r="C1244" s="1">
        <v>42</v>
      </c>
      <c r="D1244" s="1">
        <v>5</v>
      </c>
      <c r="E1244" s="1">
        <v>10</v>
      </c>
      <c r="F1244" s="90">
        <v>2</v>
      </c>
    </row>
    <row r="1245" spans="1:6" x14ac:dyDescent="0.3">
      <c r="A1245" s="1" t="s">
        <v>141</v>
      </c>
      <c r="B1245" s="1" t="s">
        <v>5</v>
      </c>
      <c r="C1245" s="1">
        <v>0</v>
      </c>
      <c r="D1245" s="1">
        <v>292</v>
      </c>
      <c r="E1245" s="1">
        <v>0</v>
      </c>
      <c r="F1245" s="90">
        <v>0</v>
      </c>
    </row>
    <row r="1246" spans="1:6" x14ac:dyDescent="0.3">
      <c r="A1246" s="1" t="s">
        <v>141</v>
      </c>
      <c r="B1246" s="1" t="s">
        <v>5</v>
      </c>
      <c r="C1246" s="1">
        <v>10</v>
      </c>
      <c r="D1246" s="1">
        <v>1</v>
      </c>
      <c r="E1246" s="1">
        <v>0</v>
      </c>
      <c r="F1246" s="90">
        <v>0</v>
      </c>
    </row>
    <row r="1247" spans="1:6" x14ac:dyDescent="0.3">
      <c r="A1247" s="1" t="s">
        <v>141</v>
      </c>
      <c r="B1247" s="1" t="s">
        <v>5</v>
      </c>
      <c r="C1247" s="1">
        <v>11</v>
      </c>
      <c r="D1247" s="1">
        <v>156</v>
      </c>
      <c r="E1247" s="1">
        <v>468</v>
      </c>
      <c r="F1247" s="90">
        <v>3</v>
      </c>
    </row>
    <row r="1248" spans="1:6" x14ac:dyDescent="0.3">
      <c r="A1248" s="1" t="s">
        <v>141</v>
      </c>
      <c r="B1248" s="1" t="s">
        <v>5</v>
      </c>
      <c r="C1248" s="1">
        <v>12</v>
      </c>
      <c r="D1248" s="1">
        <v>3470</v>
      </c>
      <c r="E1248" s="1">
        <v>17350</v>
      </c>
      <c r="F1248" s="90">
        <v>5</v>
      </c>
    </row>
    <row r="1249" spans="1:6" x14ac:dyDescent="0.3">
      <c r="A1249" s="1" t="s">
        <v>141</v>
      </c>
      <c r="B1249" s="1" t="s">
        <v>5</v>
      </c>
      <c r="C1249" s="1">
        <v>14</v>
      </c>
      <c r="D1249" s="1">
        <v>1</v>
      </c>
      <c r="E1249" s="1">
        <v>8</v>
      </c>
      <c r="F1249" s="90">
        <v>8</v>
      </c>
    </row>
    <row r="1250" spans="1:6" x14ac:dyDescent="0.3">
      <c r="A1250" s="1" t="s">
        <v>141</v>
      </c>
      <c r="B1250" s="1" t="s">
        <v>5</v>
      </c>
      <c r="C1250" s="1">
        <v>15</v>
      </c>
      <c r="D1250" s="1">
        <v>8</v>
      </c>
      <c r="E1250" s="1">
        <v>28.6</v>
      </c>
      <c r="F1250" s="90">
        <v>3.5750000000000002</v>
      </c>
    </row>
    <row r="1251" spans="1:6" x14ac:dyDescent="0.3">
      <c r="A1251" s="1" t="s">
        <v>141</v>
      </c>
      <c r="B1251" s="1" t="s">
        <v>5</v>
      </c>
      <c r="C1251" s="1">
        <v>16</v>
      </c>
      <c r="D1251" s="1">
        <v>9</v>
      </c>
      <c r="E1251" s="1">
        <v>102.3</v>
      </c>
      <c r="F1251" s="90">
        <v>11.366666666666699</v>
      </c>
    </row>
    <row r="1252" spans="1:6" x14ac:dyDescent="0.3">
      <c r="A1252" s="1" t="s">
        <v>142</v>
      </c>
      <c r="B1252" s="1" t="s">
        <v>159</v>
      </c>
      <c r="C1252" s="1">
        <v>42</v>
      </c>
      <c r="D1252" s="1">
        <v>1</v>
      </c>
      <c r="E1252" s="1">
        <v>2</v>
      </c>
      <c r="F1252" s="90">
        <v>2</v>
      </c>
    </row>
    <row r="1253" spans="1:6" x14ac:dyDescent="0.3">
      <c r="A1253" s="1" t="s">
        <v>142</v>
      </c>
      <c r="B1253" s="1" t="s">
        <v>5</v>
      </c>
      <c r="C1253" s="1">
        <v>0</v>
      </c>
      <c r="D1253" s="1">
        <v>1</v>
      </c>
      <c r="E1253" s="1">
        <v>0</v>
      </c>
      <c r="F1253" s="90">
        <v>0</v>
      </c>
    </row>
    <row r="1254" spans="1:6" x14ac:dyDescent="0.3">
      <c r="A1254" s="1" t="s">
        <v>142</v>
      </c>
      <c r="B1254" s="1" t="s">
        <v>5</v>
      </c>
      <c r="C1254" s="1">
        <v>11</v>
      </c>
      <c r="D1254" s="1">
        <v>35</v>
      </c>
      <c r="E1254" s="1">
        <v>140</v>
      </c>
      <c r="F1254" s="90">
        <v>4</v>
      </c>
    </row>
    <row r="1255" spans="1:6" x14ac:dyDescent="0.3">
      <c r="A1255" s="1" t="s">
        <v>142</v>
      </c>
      <c r="B1255" s="1" t="s">
        <v>5</v>
      </c>
      <c r="C1255" s="1">
        <v>12</v>
      </c>
      <c r="D1255" s="1">
        <v>181</v>
      </c>
      <c r="E1255" s="1">
        <v>905</v>
      </c>
      <c r="F1255" s="90">
        <v>5</v>
      </c>
    </row>
    <row r="1256" spans="1:6" x14ac:dyDescent="0.3">
      <c r="A1256" s="1" t="s">
        <v>142</v>
      </c>
      <c r="B1256" s="1" t="s">
        <v>5</v>
      </c>
      <c r="C1256" s="1">
        <v>15</v>
      </c>
      <c r="D1256" s="1">
        <v>1</v>
      </c>
      <c r="E1256" s="1">
        <v>4</v>
      </c>
      <c r="F1256" s="90">
        <v>4</v>
      </c>
    </row>
    <row r="1257" spans="1:6" x14ac:dyDescent="0.3">
      <c r="A1257" s="1" t="s">
        <v>143</v>
      </c>
      <c r="B1257" s="1" t="s">
        <v>159</v>
      </c>
      <c r="C1257" s="1">
        <v>41</v>
      </c>
      <c r="D1257" s="1">
        <v>1</v>
      </c>
      <c r="E1257" s="1">
        <v>2</v>
      </c>
      <c r="F1257" s="90">
        <v>2</v>
      </c>
    </row>
    <row r="1258" spans="1:6" x14ac:dyDescent="0.3">
      <c r="A1258" s="1" t="s">
        <v>143</v>
      </c>
      <c r="B1258" s="1" t="s">
        <v>159</v>
      </c>
      <c r="C1258" s="1">
        <v>42</v>
      </c>
      <c r="D1258" s="1">
        <v>33</v>
      </c>
      <c r="E1258" s="1">
        <v>66</v>
      </c>
      <c r="F1258" s="90">
        <v>2</v>
      </c>
    </row>
    <row r="1259" spans="1:6" x14ac:dyDescent="0.3">
      <c r="A1259" s="1" t="s">
        <v>143</v>
      </c>
      <c r="B1259" s="1" t="s">
        <v>5</v>
      </c>
      <c r="C1259" s="1">
        <v>0</v>
      </c>
      <c r="D1259" s="1">
        <v>26</v>
      </c>
      <c r="E1259" s="1">
        <v>0</v>
      </c>
      <c r="F1259" s="90">
        <v>0</v>
      </c>
    </row>
    <row r="1260" spans="1:6" x14ac:dyDescent="0.3">
      <c r="A1260" s="1" t="s">
        <v>143</v>
      </c>
      <c r="B1260" s="1" t="s">
        <v>5</v>
      </c>
      <c r="C1260" s="1">
        <v>11</v>
      </c>
      <c r="D1260" s="1">
        <v>174</v>
      </c>
      <c r="E1260" s="1">
        <v>870</v>
      </c>
      <c r="F1260" s="90">
        <v>5</v>
      </c>
    </row>
    <row r="1261" spans="1:6" x14ac:dyDescent="0.3">
      <c r="A1261" s="1" t="s">
        <v>143</v>
      </c>
      <c r="B1261" s="1" t="s">
        <v>5</v>
      </c>
      <c r="C1261" s="1">
        <v>12</v>
      </c>
      <c r="D1261" s="1">
        <v>625</v>
      </c>
      <c r="E1261" s="1">
        <v>4375</v>
      </c>
      <c r="F1261" s="90">
        <v>7</v>
      </c>
    </row>
    <row r="1262" spans="1:6" x14ac:dyDescent="0.3">
      <c r="A1262" s="1" t="s">
        <v>143</v>
      </c>
      <c r="B1262" s="1" t="s">
        <v>5</v>
      </c>
      <c r="C1262" s="1">
        <v>13</v>
      </c>
      <c r="D1262" s="1">
        <v>1</v>
      </c>
      <c r="E1262" s="1">
        <v>3.8</v>
      </c>
      <c r="F1262" s="90">
        <v>3.8</v>
      </c>
    </row>
    <row r="1263" spans="1:6" x14ac:dyDescent="0.3">
      <c r="A1263" s="1" t="s">
        <v>143</v>
      </c>
      <c r="B1263" s="1" t="s">
        <v>5</v>
      </c>
      <c r="C1263" s="1">
        <v>14</v>
      </c>
      <c r="D1263" s="1">
        <v>2</v>
      </c>
      <c r="E1263" s="1">
        <v>16.3</v>
      </c>
      <c r="F1263" s="90">
        <v>8.15</v>
      </c>
    </row>
    <row r="1264" spans="1:6" x14ac:dyDescent="0.3">
      <c r="A1264" s="1" t="s">
        <v>143</v>
      </c>
      <c r="B1264" s="1" t="s">
        <v>5</v>
      </c>
      <c r="C1264" s="1">
        <v>15</v>
      </c>
      <c r="D1264" s="1">
        <v>62</v>
      </c>
      <c r="E1264" s="1">
        <v>267.2</v>
      </c>
      <c r="F1264" s="90">
        <v>4.3096774193548404</v>
      </c>
    </row>
    <row r="1265" spans="1:6" x14ac:dyDescent="0.3">
      <c r="A1265" s="1" t="s">
        <v>143</v>
      </c>
      <c r="B1265" s="1" t="s">
        <v>5</v>
      </c>
      <c r="C1265" s="1">
        <v>16</v>
      </c>
      <c r="D1265" s="1">
        <v>6</v>
      </c>
      <c r="E1265" s="1">
        <v>65.599999999999994</v>
      </c>
      <c r="F1265" s="90">
        <v>10.9333333333333</v>
      </c>
    </row>
    <row r="1266" spans="1:6" x14ac:dyDescent="0.3">
      <c r="A1266" s="1" t="s">
        <v>144</v>
      </c>
      <c r="B1266" s="1" t="s">
        <v>159</v>
      </c>
      <c r="C1266" s="1">
        <v>42</v>
      </c>
      <c r="D1266" s="3">
        <v>5</v>
      </c>
      <c r="E1266" s="2">
        <v>10</v>
      </c>
      <c r="F1266" s="90">
        <v>2</v>
      </c>
    </row>
    <row r="1267" spans="1:6" x14ac:dyDescent="0.3">
      <c r="A1267" s="1" t="s">
        <v>144</v>
      </c>
      <c r="B1267" s="1" t="s">
        <v>5</v>
      </c>
      <c r="C1267" s="1">
        <v>11</v>
      </c>
      <c r="D1267" s="3">
        <v>6</v>
      </c>
      <c r="E1267" s="2">
        <v>48</v>
      </c>
      <c r="F1267" s="90">
        <v>8</v>
      </c>
    </row>
    <row r="1268" spans="1:6" x14ac:dyDescent="0.3">
      <c r="A1268" s="1" t="s">
        <v>144</v>
      </c>
      <c r="B1268" s="1" t="s">
        <v>5</v>
      </c>
      <c r="C1268" s="1">
        <v>12</v>
      </c>
      <c r="D1268" s="3">
        <v>22</v>
      </c>
      <c r="E1268" s="2">
        <v>198</v>
      </c>
      <c r="F1268" s="90">
        <v>9</v>
      </c>
    </row>
    <row r="1269" spans="1:6" x14ac:dyDescent="0.3">
      <c r="A1269" s="1" t="s">
        <v>144</v>
      </c>
      <c r="B1269" s="1" t="s">
        <v>5</v>
      </c>
      <c r="C1269" s="1">
        <v>13</v>
      </c>
      <c r="D1269" s="3">
        <v>1</v>
      </c>
      <c r="E1269" s="2">
        <v>5</v>
      </c>
      <c r="F1269" s="90">
        <v>5</v>
      </c>
    </row>
    <row r="1270" spans="1:6" x14ac:dyDescent="0.3">
      <c r="A1270" s="1" t="s">
        <v>144</v>
      </c>
      <c r="B1270" s="1" t="s">
        <v>5</v>
      </c>
      <c r="C1270" s="1">
        <v>15</v>
      </c>
      <c r="D1270" s="3">
        <v>3</v>
      </c>
      <c r="E1270" s="2">
        <v>15</v>
      </c>
      <c r="F1270" s="90">
        <v>5</v>
      </c>
    </row>
    <row r="1271" spans="1:6" x14ac:dyDescent="0.3">
      <c r="A1271" s="1" t="s">
        <v>145</v>
      </c>
      <c r="B1271" s="1" t="s">
        <v>159</v>
      </c>
      <c r="C1271" s="1">
        <v>42</v>
      </c>
      <c r="D1271" s="3">
        <v>1</v>
      </c>
      <c r="E1271" s="2">
        <v>2</v>
      </c>
      <c r="F1271" s="90">
        <v>2</v>
      </c>
    </row>
    <row r="1272" spans="1:6" x14ac:dyDescent="0.3">
      <c r="A1272" s="1" t="s">
        <v>145</v>
      </c>
      <c r="B1272" s="1" t="s">
        <v>5</v>
      </c>
      <c r="C1272" s="1">
        <v>0</v>
      </c>
      <c r="D1272" s="3">
        <v>8</v>
      </c>
      <c r="E1272" s="2">
        <v>0</v>
      </c>
      <c r="F1272" s="90">
        <v>0</v>
      </c>
    </row>
    <row r="1273" spans="1:6" x14ac:dyDescent="0.3">
      <c r="A1273" s="1" t="s">
        <v>145</v>
      </c>
      <c r="B1273" s="1" t="s">
        <v>5</v>
      </c>
      <c r="C1273" s="1">
        <v>11</v>
      </c>
      <c r="D1273" s="3">
        <v>266</v>
      </c>
      <c r="E1273" s="2">
        <v>798</v>
      </c>
      <c r="F1273" s="90">
        <v>3</v>
      </c>
    </row>
    <row r="1274" spans="1:6" x14ac:dyDescent="0.3">
      <c r="A1274" s="1" t="s">
        <v>145</v>
      </c>
      <c r="B1274" s="1" t="s">
        <v>5</v>
      </c>
      <c r="C1274" s="1">
        <v>12</v>
      </c>
      <c r="D1274" s="3">
        <v>795</v>
      </c>
      <c r="E1274" s="2">
        <v>4770</v>
      </c>
      <c r="F1274" s="90">
        <v>6</v>
      </c>
    </row>
    <row r="1275" spans="1:6" x14ac:dyDescent="0.3">
      <c r="A1275" s="1" t="s">
        <v>145</v>
      </c>
      <c r="B1275" s="1" t="s">
        <v>5</v>
      </c>
      <c r="C1275" s="1">
        <v>13</v>
      </c>
      <c r="D1275" s="3">
        <v>7</v>
      </c>
      <c r="E1275" s="2">
        <v>14.3</v>
      </c>
      <c r="F1275" s="90">
        <v>2.04285714285714</v>
      </c>
    </row>
    <row r="1276" spans="1:6" x14ac:dyDescent="0.3">
      <c r="A1276" s="1" t="s">
        <v>145</v>
      </c>
      <c r="B1276" s="1" t="s">
        <v>5</v>
      </c>
      <c r="C1276" s="1">
        <v>14</v>
      </c>
      <c r="D1276" s="3">
        <v>35</v>
      </c>
      <c r="E1276" s="2">
        <v>278.60000000000002</v>
      </c>
      <c r="F1276" s="90">
        <v>7.96</v>
      </c>
    </row>
    <row r="1277" spans="1:6" x14ac:dyDescent="0.3">
      <c r="A1277" s="1" t="s">
        <v>145</v>
      </c>
      <c r="B1277" s="1" t="s">
        <v>5</v>
      </c>
      <c r="C1277" s="1">
        <v>15</v>
      </c>
      <c r="D1277" s="3">
        <v>74</v>
      </c>
      <c r="E1277" s="2">
        <v>316.5</v>
      </c>
      <c r="F1277" s="90">
        <v>4.2770270270270299</v>
      </c>
    </row>
    <row r="1278" spans="1:6" x14ac:dyDescent="0.3">
      <c r="A1278" s="1" t="s">
        <v>145</v>
      </c>
      <c r="B1278" s="1" t="s">
        <v>5</v>
      </c>
      <c r="C1278" s="1">
        <v>16</v>
      </c>
      <c r="D1278" s="3">
        <v>45</v>
      </c>
      <c r="E1278" s="2">
        <v>510</v>
      </c>
      <c r="F1278" s="90">
        <v>11.3333333333333</v>
      </c>
    </row>
    <row r="1279" spans="1:6" x14ac:dyDescent="0.3">
      <c r="A1279" s="1" t="s">
        <v>146</v>
      </c>
      <c r="B1279" s="1" t="s">
        <v>159</v>
      </c>
      <c r="C1279" s="1">
        <v>42</v>
      </c>
      <c r="D1279" s="3">
        <v>127</v>
      </c>
      <c r="E1279" s="2">
        <v>254</v>
      </c>
      <c r="F1279" s="90">
        <v>2</v>
      </c>
    </row>
    <row r="1280" spans="1:6" x14ac:dyDescent="0.3">
      <c r="A1280" s="1" t="s">
        <v>146</v>
      </c>
      <c r="B1280" s="1" t="s">
        <v>5</v>
      </c>
      <c r="C1280" s="1">
        <v>0</v>
      </c>
      <c r="D1280" s="3">
        <v>30</v>
      </c>
      <c r="E1280" s="2">
        <v>0</v>
      </c>
      <c r="F1280" s="90">
        <v>0</v>
      </c>
    </row>
    <row r="1281" spans="1:6" x14ac:dyDescent="0.3">
      <c r="A1281" s="1" t="s">
        <v>146</v>
      </c>
      <c r="B1281" s="1" t="s">
        <v>5</v>
      </c>
      <c r="C1281" s="1">
        <v>11</v>
      </c>
      <c r="D1281" s="3">
        <v>120</v>
      </c>
      <c r="E1281" s="2">
        <v>480</v>
      </c>
      <c r="F1281" s="90">
        <v>4</v>
      </c>
    </row>
    <row r="1282" spans="1:6" x14ac:dyDescent="0.3">
      <c r="A1282" s="1" t="s">
        <v>146</v>
      </c>
      <c r="B1282" s="1" t="s">
        <v>5</v>
      </c>
      <c r="C1282" s="1">
        <v>12</v>
      </c>
      <c r="D1282" s="3">
        <v>1062</v>
      </c>
      <c r="E1282" s="2">
        <v>6372</v>
      </c>
      <c r="F1282" s="90">
        <v>6</v>
      </c>
    </row>
    <row r="1283" spans="1:6" x14ac:dyDescent="0.3">
      <c r="A1283" s="1" t="s">
        <v>146</v>
      </c>
      <c r="B1283" s="1" t="s">
        <v>5</v>
      </c>
      <c r="C1283" s="1">
        <v>13</v>
      </c>
      <c r="D1283" s="3">
        <v>4</v>
      </c>
      <c r="E1283" s="2">
        <v>11</v>
      </c>
      <c r="F1283" s="90">
        <v>2.75</v>
      </c>
    </row>
    <row r="1284" spans="1:6" x14ac:dyDescent="0.3">
      <c r="A1284" s="1" t="s">
        <v>146</v>
      </c>
      <c r="B1284" s="1" t="s">
        <v>5</v>
      </c>
      <c r="C1284" s="1">
        <v>14</v>
      </c>
      <c r="D1284" s="3">
        <v>4</v>
      </c>
      <c r="E1284" s="2">
        <v>31</v>
      </c>
      <c r="F1284" s="90">
        <v>7.75</v>
      </c>
    </row>
    <row r="1285" spans="1:6" x14ac:dyDescent="0.3">
      <c r="A1285" s="1" t="s">
        <v>146</v>
      </c>
      <c r="B1285" s="1" t="s">
        <v>5</v>
      </c>
      <c r="C1285" s="1">
        <v>15</v>
      </c>
      <c r="D1285" s="3">
        <v>85</v>
      </c>
      <c r="E1285" s="2">
        <v>369</v>
      </c>
      <c r="F1285" s="90">
        <v>4.3411764705882403</v>
      </c>
    </row>
    <row r="1286" spans="1:6" x14ac:dyDescent="0.3">
      <c r="A1286" s="1" t="s">
        <v>146</v>
      </c>
      <c r="B1286" s="1" t="s">
        <v>5</v>
      </c>
      <c r="C1286" s="1">
        <v>16</v>
      </c>
      <c r="D1286" s="3">
        <v>19</v>
      </c>
      <c r="E1286" s="2">
        <v>186</v>
      </c>
      <c r="F1286" s="90">
        <v>9.7894736842105292</v>
      </c>
    </row>
    <row r="1287" spans="1:6" x14ac:dyDescent="0.3">
      <c r="A1287" s="1" t="s">
        <v>147</v>
      </c>
      <c r="B1287" s="1" t="s">
        <v>159</v>
      </c>
      <c r="C1287" s="1">
        <v>41</v>
      </c>
      <c r="D1287" s="3">
        <v>1</v>
      </c>
      <c r="E1287" s="2">
        <v>2</v>
      </c>
      <c r="F1287" s="90">
        <v>2</v>
      </c>
    </row>
    <row r="1288" spans="1:6" x14ac:dyDescent="0.3">
      <c r="A1288" s="1" t="s">
        <v>147</v>
      </c>
      <c r="B1288" s="1" t="s">
        <v>5</v>
      </c>
      <c r="C1288" s="1">
        <v>0</v>
      </c>
      <c r="D1288" s="3">
        <v>25</v>
      </c>
      <c r="E1288" s="2">
        <v>0</v>
      </c>
      <c r="F1288" s="90">
        <v>0</v>
      </c>
    </row>
    <row r="1289" spans="1:6" x14ac:dyDescent="0.3">
      <c r="A1289" s="1" t="s">
        <v>147</v>
      </c>
      <c r="B1289" s="1" t="s">
        <v>5</v>
      </c>
      <c r="C1289" s="1">
        <v>11</v>
      </c>
      <c r="D1289" s="3">
        <v>4</v>
      </c>
      <c r="E1289" s="2">
        <v>16</v>
      </c>
      <c r="F1289" s="90">
        <v>4</v>
      </c>
    </row>
    <row r="1290" spans="1:6" x14ac:dyDescent="0.3">
      <c r="A1290" s="1" t="s">
        <v>147</v>
      </c>
      <c r="B1290" s="1" t="s">
        <v>5</v>
      </c>
      <c r="C1290" s="1">
        <v>12</v>
      </c>
      <c r="D1290" s="3">
        <v>38</v>
      </c>
      <c r="E1290" s="2">
        <v>228</v>
      </c>
      <c r="F1290" s="90">
        <v>6</v>
      </c>
    </row>
    <row r="1291" spans="1:6" x14ac:dyDescent="0.3">
      <c r="A1291" s="1" t="s">
        <v>147</v>
      </c>
      <c r="B1291" s="1" t="s">
        <v>5</v>
      </c>
      <c r="C1291" s="1">
        <v>15</v>
      </c>
      <c r="D1291" s="3">
        <v>7</v>
      </c>
      <c r="E1291" s="2">
        <v>35</v>
      </c>
      <c r="F1291" s="90">
        <v>5</v>
      </c>
    </row>
    <row r="1292" spans="1:6" x14ac:dyDescent="0.3">
      <c r="A1292" s="1" t="s">
        <v>147</v>
      </c>
      <c r="B1292" s="1" t="s">
        <v>5</v>
      </c>
      <c r="C1292" s="1">
        <v>16</v>
      </c>
      <c r="D1292" s="3">
        <v>4</v>
      </c>
      <c r="E1292" s="2">
        <v>36</v>
      </c>
      <c r="F1292" s="90">
        <v>9</v>
      </c>
    </row>
    <row r="1293" spans="1:6" x14ac:dyDescent="0.3">
      <c r="A1293" s="1" t="s">
        <v>148</v>
      </c>
      <c r="B1293" s="1" t="s">
        <v>5</v>
      </c>
      <c r="C1293" s="1">
        <v>0</v>
      </c>
      <c r="D1293" s="3">
        <v>27</v>
      </c>
      <c r="E1293" s="2">
        <v>0</v>
      </c>
      <c r="F1293" s="90">
        <v>0</v>
      </c>
    </row>
    <row r="1294" spans="1:6" x14ac:dyDescent="0.3">
      <c r="A1294" s="1" t="s">
        <v>148</v>
      </c>
      <c r="B1294" s="1" t="s">
        <v>5</v>
      </c>
      <c r="C1294" s="1">
        <v>10</v>
      </c>
      <c r="D1294" s="3">
        <v>1</v>
      </c>
      <c r="E1294" s="2">
        <v>0</v>
      </c>
      <c r="F1294" s="90">
        <v>0</v>
      </c>
    </row>
    <row r="1295" spans="1:6" x14ac:dyDescent="0.3">
      <c r="A1295" s="1" t="s">
        <v>148</v>
      </c>
      <c r="B1295" s="1" t="s">
        <v>5</v>
      </c>
      <c r="C1295" s="1">
        <v>11</v>
      </c>
      <c r="D1295" s="3">
        <v>15</v>
      </c>
      <c r="E1295" s="2">
        <v>60</v>
      </c>
      <c r="F1295" s="90">
        <v>4</v>
      </c>
    </row>
    <row r="1296" spans="1:6" x14ac:dyDescent="0.3">
      <c r="A1296" s="1" t="s">
        <v>148</v>
      </c>
      <c r="B1296" s="1" t="s">
        <v>5</v>
      </c>
      <c r="C1296" s="1">
        <v>12</v>
      </c>
      <c r="D1296" s="3">
        <v>55</v>
      </c>
      <c r="E1296" s="2">
        <v>330</v>
      </c>
      <c r="F1296" s="90">
        <v>6</v>
      </c>
    </row>
    <row r="1297" spans="1:6" x14ac:dyDescent="0.3">
      <c r="A1297" s="1" t="s">
        <v>148</v>
      </c>
      <c r="B1297" s="1" t="s">
        <v>5</v>
      </c>
      <c r="C1297" s="1">
        <v>15</v>
      </c>
      <c r="D1297" s="3">
        <v>12</v>
      </c>
      <c r="E1297" s="2">
        <v>56</v>
      </c>
      <c r="F1297" s="90">
        <v>4.6666666666666696</v>
      </c>
    </row>
    <row r="1298" spans="1:6" x14ac:dyDescent="0.3">
      <c r="A1298" s="1" t="s">
        <v>148</v>
      </c>
      <c r="B1298" s="1" t="s">
        <v>5</v>
      </c>
      <c r="C1298" s="1">
        <v>16</v>
      </c>
      <c r="D1298" s="3">
        <v>13</v>
      </c>
      <c r="E1298" s="2">
        <v>112.5</v>
      </c>
      <c r="F1298" s="90">
        <v>8.6538461538461497</v>
      </c>
    </row>
    <row r="1299" spans="1:6" x14ac:dyDescent="0.3">
      <c r="A1299" s="1" t="s">
        <v>149</v>
      </c>
      <c r="B1299" s="1" t="s">
        <v>5</v>
      </c>
      <c r="C1299" s="1">
        <v>0</v>
      </c>
      <c r="D1299" s="3">
        <v>4</v>
      </c>
      <c r="E1299" s="2">
        <v>0</v>
      </c>
      <c r="F1299" s="90">
        <v>0</v>
      </c>
    </row>
    <row r="1300" spans="1:6" x14ac:dyDescent="0.3">
      <c r="A1300" s="1" t="s">
        <v>149</v>
      </c>
      <c r="B1300" s="1" t="s">
        <v>5</v>
      </c>
      <c r="C1300" s="1">
        <v>11</v>
      </c>
      <c r="D1300" s="3">
        <v>47</v>
      </c>
      <c r="E1300" s="2">
        <v>141</v>
      </c>
      <c r="F1300" s="90">
        <v>3</v>
      </c>
    </row>
    <row r="1301" spans="1:6" x14ac:dyDescent="0.3">
      <c r="A1301" s="1" t="s">
        <v>149</v>
      </c>
      <c r="B1301" s="1" t="s">
        <v>5</v>
      </c>
      <c r="C1301" s="1">
        <v>12</v>
      </c>
      <c r="D1301" s="3">
        <v>542</v>
      </c>
      <c r="E1301" s="2">
        <v>2710</v>
      </c>
      <c r="F1301" s="90">
        <v>5</v>
      </c>
    </row>
    <row r="1302" spans="1:6" x14ac:dyDescent="0.3">
      <c r="A1302" s="1" t="s">
        <v>149</v>
      </c>
      <c r="B1302" s="1" t="s">
        <v>5</v>
      </c>
      <c r="C1302" s="1">
        <v>15</v>
      </c>
      <c r="D1302" s="3">
        <v>2</v>
      </c>
      <c r="E1302" s="2">
        <v>5</v>
      </c>
      <c r="F1302" s="90">
        <v>2.5</v>
      </c>
    </row>
    <row r="1303" spans="1:6" x14ac:dyDescent="0.3">
      <c r="D1303" s="3"/>
      <c r="E1303" s="2"/>
      <c r="F1303" s="90"/>
    </row>
    <row r="1304" spans="1:6" x14ac:dyDescent="0.3">
      <c r="D1304" s="3"/>
      <c r="E1304" s="2"/>
      <c r="F1304" s="90"/>
    </row>
    <row r="1305" spans="1:6" x14ac:dyDescent="0.3">
      <c r="D1305" s="3"/>
      <c r="E1305" s="2"/>
      <c r="F1305" s="90"/>
    </row>
    <row r="1306" spans="1:6" x14ac:dyDescent="0.3">
      <c r="D1306" s="3"/>
      <c r="E1306" s="2"/>
      <c r="F1306" s="90"/>
    </row>
  </sheetData>
  <mergeCells count="1">
    <mergeCell ref="J13:P13"/>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18</vt:i4>
      </vt:variant>
    </vt:vector>
  </HeadingPairs>
  <TitlesOfParts>
    <vt:vector size="29" baseType="lpstr">
      <vt:lpstr>dashboard VdM II</vt:lpstr>
      <vt:lpstr>nieuw tarief</vt:lpstr>
      <vt:lpstr>toeslagen</vt:lpstr>
      <vt:lpstr>opvolging</vt:lpstr>
      <vt:lpstr>forfaits 2022</vt:lpstr>
      <vt:lpstr>forfaits 2023</vt:lpstr>
      <vt:lpstr>bronnen --&gt;&gt;</vt:lpstr>
      <vt:lpstr>bron VAS2022</vt:lpstr>
      <vt:lpstr>bron VAS2023</vt:lpstr>
      <vt:lpstr>lijst forfaits</vt:lpstr>
      <vt:lpstr>forfaits kleine n</vt:lpstr>
      <vt:lpstr>btw</vt:lpstr>
      <vt:lpstr>factor_samenhang</vt:lpstr>
      <vt:lpstr>knop_boven_forfait</vt:lpstr>
      <vt:lpstr>knop_nul_forfait</vt:lpstr>
      <vt:lpstr>knop_onder_forfait</vt:lpstr>
      <vt:lpstr>knop_op_forfait</vt:lpstr>
      <vt:lpstr>knop_opvolging</vt:lpstr>
      <vt:lpstr>knop_toeslagen</vt:lpstr>
      <vt:lpstr>'bron VAS2022'!Ophalen</vt:lpstr>
      <vt:lpstr>'bron VAS2023'!Ophalen</vt:lpstr>
      <vt:lpstr>opvolging!Ophalen</vt:lpstr>
      <vt:lpstr>'bron VAS2023'!tabel_pt_VdMII</vt:lpstr>
      <vt:lpstr>'forfaits 2023'!tabel_pt_VdMII</vt:lpstr>
      <vt:lpstr>tabel_pt_VdMII</vt:lpstr>
      <vt:lpstr>tarief_EXU_straf</vt:lpstr>
      <vt:lpstr>tarief_huidig</vt:lpstr>
      <vt:lpstr>tarief_nieuw</vt:lpstr>
      <vt:lpstr>tarief_verhoging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Carla van Rooijen</cp:lastModifiedBy>
  <dcterms:created xsi:type="dcterms:W3CDTF">2024-03-28T09:11:12Z</dcterms:created>
  <dcterms:modified xsi:type="dcterms:W3CDTF">2025-03-03T10:11:42Z</dcterms:modified>
</cp:coreProperties>
</file>